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987" activeTab="0"/>
  </bookViews>
  <sheets>
    <sheet name="Sheet1" sheetId="1" r:id="rId1"/>
  </sheets>
  <definedNames>
    <definedName name="_xlnm.Print_Area" localSheetId="0">'Sheet1'!$A$1:$M$148</definedName>
  </definedNames>
  <calcPr fullCalcOnLoad="1"/>
</workbook>
</file>

<file path=xl/sharedStrings.xml><?xml version="1.0" encoding="utf-8"?>
<sst xmlns="http://schemas.openxmlformats.org/spreadsheetml/2006/main" count="405" uniqueCount="211">
  <si>
    <t>Код
стро-
ки</t>
  </si>
  <si>
    <t>Код расхода  
по бюджетной классификации</t>
  </si>
  <si>
    <t>Утвержденные бюджетные назначения</t>
  </si>
  <si>
    <t>Лимиты бюджетных обязательств</t>
  </si>
  <si>
    <t>Исполнено</t>
  </si>
  <si>
    <t>Не исполнено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</si>
  <si>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</si>
  <si>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</si>
  <si>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</si>
  <si>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</si>
  <si>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Неисполнение по ассигнованиям</t>
  </si>
  <si>
    <t>Неисполнение по по ассигнованиям</t>
  </si>
  <si>
    <t>Неисполнение по лимитам бюджетных обязательств</t>
  </si>
  <si>
    <t>%исполне-ния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</si>
  <si>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</si>
  <si>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</si>
  <si>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</si>
  <si>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</si>
  <si>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</si>
  <si>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</si>
  <si>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</si>
  <si>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</si>
  <si>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</si>
  <si>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</si>
  <si>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Расходы бюджета - всего</t>
  </si>
  <si>
    <t>200</t>
  </si>
  <si>
    <t>х</t>
  </si>
  <si>
    <t>-</t>
  </si>
  <si>
    <t>в том числе:</t>
  </si>
  <si>
    <t xml:space="preserve">         </t>
  </si>
  <si>
    <t>Администрация</t>
  </si>
  <si>
    <t>Заработная плата</t>
  </si>
  <si>
    <t>`99901040020000110121211</t>
  </si>
  <si>
    <t>Начисления на выплаты по оплате труда</t>
  </si>
  <si>
    <t>`99901040020000110129213</t>
  </si>
  <si>
    <t>Прочие расходы</t>
  </si>
  <si>
    <t>`99901040020000110853290</t>
  </si>
  <si>
    <t>Услуги связи</t>
  </si>
  <si>
    <t>`99901040020000190244221</t>
  </si>
  <si>
    <t>Транспортные услуги</t>
  </si>
  <si>
    <t>`99901040020000190122222</t>
  </si>
  <si>
    <t>`999010400200001908539020</t>
  </si>
  <si>
    <t>Увеличение стоимости материальных запасов</t>
  </si>
  <si>
    <t>`9990104002720924434040</t>
  </si>
  <si>
    <t>`99901040027209244221</t>
  </si>
  <si>
    <t>Социальные выплаты</t>
  </si>
  <si>
    <t>`99910014910080100321263</t>
  </si>
  <si>
    <t>`99910014910080100312263</t>
  </si>
  <si>
    <t>Оценка недвижимости</t>
  </si>
  <si>
    <t>`99901130900022000244226</t>
  </si>
  <si>
    <t>Другие вопросы в области национальной экономики</t>
  </si>
  <si>
    <t>`99904127070027370244226</t>
  </si>
  <si>
    <t>`99904127070027370810242</t>
  </si>
  <si>
    <t>Резервный фонд(прочие расходы)</t>
  </si>
  <si>
    <t>`99901110700025000870290</t>
  </si>
  <si>
    <t>Выполнение других обязательств государства</t>
  </si>
  <si>
    <t>Прочие работы, услуги</t>
  </si>
  <si>
    <t>`99901130920023000244226</t>
  </si>
  <si>
    <t>`99901130920023000123226</t>
  </si>
  <si>
    <t>`99901130920023000244340</t>
  </si>
  <si>
    <t>`99901130920023000244290</t>
  </si>
  <si>
    <t>`99901130920023000852290</t>
  </si>
  <si>
    <t>`99901130922300853290</t>
  </si>
  <si>
    <t>`99901130920023000360290</t>
  </si>
  <si>
    <t>`99901130920023000851290</t>
  </si>
  <si>
    <t>Дорожное хозяйство</t>
  </si>
  <si>
    <t>`99904093150020150244225</t>
  </si>
  <si>
    <t>`99904093150020150244340</t>
  </si>
  <si>
    <t>`99904093150071180244225</t>
  </si>
  <si>
    <t>`999040931500S1180244225</t>
  </si>
  <si>
    <t>`99904093150071300244225</t>
  </si>
  <si>
    <t>`999040931500S1300244225</t>
  </si>
  <si>
    <t>Жилищное хозяйство</t>
  </si>
  <si>
    <t>`0501</t>
  </si>
  <si>
    <t>Безвозмездные перечисления</t>
  </si>
  <si>
    <t>`99905013600061000810242</t>
  </si>
  <si>
    <t>Работы, услуги по содержанию имущества</t>
  </si>
  <si>
    <t>`9905013600040200853290</t>
  </si>
  <si>
    <t>`99905013600020300244340</t>
  </si>
  <si>
    <t>`9905013600040200244290</t>
  </si>
  <si>
    <t>`99905013600020300244225</t>
  </si>
  <si>
    <t>`99905013600009502412310</t>
  </si>
  <si>
    <t>`99905013600009502414310</t>
  </si>
  <si>
    <t>`99905013600009602412310</t>
  </si>
  <si>
    <t>`99905013600009602414310</t>
  </si>
  <si>
    <t>Коммунальное хозяйство</t>
  </si>
  <si>
    <t>`0502</t>
  </si>
  <si>
    <t>Безвозмездные перечисления государственным и муниципальным организациям</t>
  </si>
  <si>
    <t>`99905023610060500810241</t>
  </si>
  <si>
    <t>`99905021020040010466530</t>
  </si>
  <si>
    <t>`99905023610060300810241</t>
  </si>
  <si>
    <t>Благоустройство</t>
  </si>
  <si>
    <t>`0503</t>
  </si>
  <si>
    <t>Коммунальные услуги</t>
  </si>
  <si>
    <t>`9990503600002010024422320</t>
  </si>
  <si>
    <t>`99905036000020100244225</t>
  </si>
  <si>
    <t>`99905036000020100244226</t>
  </si>
  <si>
    <t>`9990503600002010024434040</t>
  </si>
  <si>
    <t>`99905036000020510244222</t>
  </si>
  <si>
    <t>Увеличение стоимости основных средств</t>
  </si>
  <si>
    <t>`99905036000020510244310</t>
  </si>
  <si>
    <t>`9990503600002051024434040</t>
  </si>
  <si>
    <t>`99905036000020510852290</t>
  </si>
  <si>
    <t xml:space="preserve"> </t>
  </si>
  <si>
    <t>уплата прочих налогов, сборов и иных платежей</t>
  </si>
  <si>
    <t>`99905036000020510853290</t>
  </si>
  <si>
    <t>`99905036000020510244225</t>
  </si>
  <si>
    <t>`99905036000020510244226</t>
  </si>
  <si>
    <t>`99905036000020510851290</t>
  </si>
  <si>
    <t>РЦД и библиотека</t>
  </si>
  <si>
    <t>`0801</t>
  </si>
  <si>
    <t>`99908014400000590111211</t>
  </si>
  <si>
    <t>`99908014400000590119213</t>
  </si>
  <si>
    <t>`9990801440000590112222</t>
  </si>
  <si>
    <t>`99908014400000590244221</t>
  </si>
  <si>
    <t>`9990801440000059024422310</t>
  </si>
  <si>
    <t>`9990801440000059024422320</t>
  </si>
  <si>
    <t>`9990801440000059024422330</t>
  </si>
  <si>
    <t xml:space="preserve">Работы, услуги по содержанию имущества </t>
  </si>
  <si>
    <t>`99908014400000590244225</t>
  </si>
  <si>
    <t>`99908014400000590244226</t>
  </si>
  <si>
    <t>`9990801440000059024429020</t>
  </si>
  <si>
    <t>`9990801440000059085229020</t>
  </si>
  <si>
    <t>`9990801440000059085129020</t>
  </si>
  <si>
    <t>Прочие расходы (Исполнение судебных актов)</t>
  </si>
  <si>
    <t>`9990801440000059083129020</t>
  </si>
  <si>
    <t>`9990801440000059085329020</t>
  </si>
  <si>
    <t>`9990801440000059024431010</t>
  </si>
  <si>
    <t>`9990801440000059024434030</t>
  </si>
  <si>
    <t>`9990801440000059024434040</t>
  </si>
  <si>
    <t>Обеспечение деятельности подведомственных учреждений</t>
  </si>
  <si>
    <t>`0113</t>
  </si>
  <si>
    <t>`99901130930000590111211</t>
  </si>
  <si>
    <t>`999011309300000590119213</t>
  </si>
  <si>
    <t>`99901130930000590244221</t>
  </si>
  <si>
    <t>`9990113093000059024422310</t>
  </si>
  <si>
    <t>`9990113093000059024422320</t>
  </si>
  <si>
    <t>`9990113093000059024422330</t>
  </si>
  <si>
    <t>`99901130930000590244225</t>
  </si>
  <si>
    <t xml:space="preserve">Прочие работы, услуги </t>
  </si>
  <si>
    <t>`99901130930000590244226</t>
  </si>
  <si>
    <t>`9990113093000059024429020</t>
  </si>
  <si>
    <t>`9990113093000059024431010</t>
  </si>
  <si>
    <t>`9990113093000059024434040</t>
  </si>
  <si>
    <t>МКОУ "ДЮСШ"</t>
  </si>
  <si>
    <t>`99911014820000590111211</t>
  </si>
  <si>
    <t>Прочие выплаты</t>
  </si>
  <si>
    <t>`99911014820000590112212</t>
  </si>
  <si>
    <t>`99911014820000590119213</t>
  </si>
  <si>
    <t>`99911014820000590244221</t>
  </si>
  <si>
    <t>Услуги транспорта</t>
  </si>
  <si>
    <t>`99911014820000590112222</t>
  </si>
  <si>
    <t>`99911014820000590244222</t>
  </si>
  <si>
    <t>`9991101482000059024422310</t>
  </si>
  <si>
    <t>`9991101482000059024422320</t>
  </si>
  <si>
    <t>`99911014820000590244225</t>
  </si>
  <si>
    <t>`99911014820000590112226</t>
  </si>
  <si>
    <t>`999110148200000590244226</t>
  </si>
  <si>
    <t>`9991101482000059085229020</t>
  </si>
  <si>
    <t>`9991101482000059085329020</t>
  </si>
  <si>
    <t>`9991101482000059085129020</t>
  </si>
  <si>
    <t>`9991101482000059035029020</t>
  </si>
  <si>
    <t>`9991101482000059024429020</t>
  </si>
  <si>
    <t>`99911014820000590244310</t>
  </si>
  <si>
    <t>`99911014820000590244340</t>
  </si>
  <si>
    <t>`99911014820000590330290</t>
  </si>
  <si>
    <t>Социальные меры поддержки</t>
  </si>
  <si>
    <t>`99910065140060100810241</t>
  </si>
  <si>
    <t>`9991006514060100810242</t>
  </si>
  <si>
    <t>Уплата процентов за пользование кредитом</t>
  </si>
  <si>
    <t>`99913010650020330730231</t>
  </si>
  <si>
    <t>`99910035050080330321262</t>
  </si>
  <si>
    <t>`99904123380020010244226</t>
  </si>
  <si>
    <t>`99904123380020010245226</t>
  </si>
  <si>
    <t>выборы</t>
  </si>
  <si>
    <t>`99901070200020030244290</t>
  </si>
  <si>
    <t>Результат исполнения бюджета (дефицит / профицит )</t>
  </si>
  <si>
    <t>3. Источники финансирования дефицита бюджета</t>
  </si>
  <si>
    <t xml:space="preserve"> Наименование показателя</t>
  </si>
  <si>
    <t>Код источника финансирования
по бюджетной классификации</t>
  </si>
  <si>
    <t>Неисполненные назначения</t>
  </si>
  <si>
    <t>1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</si>
  <si>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</si>
  <si>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</si>
  <si>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</si>
  <si>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</si>
  <si>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</si>
  <si>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</si>
  <si>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</si>
  <si>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</si>
  <si>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</si>
  <si>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</si>
  <si>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</si>
  <si>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</si>
  <si>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</si>
  <si>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</si>
  <si>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</si>
  <si>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</si>
  <si>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</si>
  <si>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</si>
  <si>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</si>
  <si>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</si>
  <si>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</si>
  <si>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</si>
  <si>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</si>
  <si>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</si>
  <si>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</si>
  <si>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   </t>
  </si>
  <si>
    <t>Недорезов В. Н.</t>
  </si>
  <si>
    <t>Главный бухгалтер</t>
  </si>
  <si>
    <t>Елфимова А.С.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</si>
</sst>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#,##0.00;\-#,##0.00"/>
    <numFmt numFmtId="168" formatCode="0.000"/>
  </numFmts>
  <fonts count="21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/>
    </xf>
    <xf numFmtId="164" fontId="2" fillId="3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7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8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9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10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4" borderId="0" applyNumberFormat="0" applyBorder="0" applyProtection="0">
      <alignment horizontal="left"/>
    </xf>
    <xf numFmtId="164" fontId="3" fillId="11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3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13" borderId="0" applyNumberFormat="0" applyBorder="0" applyProtection="0">
      <alignment horizontal="left"/>
    </xf>
    <xf numFmtId="164" fontId="3" fillId="14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4" fillId="3" borderId="1" applyNumberFormat="0" applyProtection="0">
      <alignment horizontal="left"/>
    </xf>
    <xf numFmtId="164" fontId="5" fillId="5" borderId="2" applyNumberFormat="0" applyProtection="0">
      <alignment horizontal="left"/>
    </xf>
    <xf numFmtId="164" fontId="6" fillId="5" borderId="1" applyNumberFormat="0" applyProtection="0">
      <alignment horizontal="left"/>
    </xf>
    <xf numFmtId="164" fontId="7" fillId="0" borderId="3" applyNumberFormat="0" applyFill="0" applyProtection="0">
      <alignment horizontal="left"/>
    </xf>
    <xf numFmtId="164" fontId="8" fillId="0" borderId="4" applyNumberFormat="0" applyFill="0" applyProtection="0">
      <alignment horizontal="left"/>
    </xf>
    <xf numFmtId="164" fontId="9" fillId="0" borderId="4" applyNumberFormat="0" applyFill="0" applyProtection="0">
      <alignment horizontal="left"/>
    </xf>
    <xf numFmtId="164" fontId="9" fillId="0" borderId="0" applyNumberFormat="0" applyFill="0" applyBorder="0" applyProtection="0">
      <alignment horizontal="left"/>
    </xf>
    <xf numFmtId="164" fontId="5" fillId="0" borderId="5" applyNumberFormat="0" applyFill="0" applyProtection="0">
      <alignment horizontal="left"/>
    </xf>
    <xf numFmtId="164" fontId="10" fillId="11" borderId="6" applyNumberFormat="0" applyProtection="0">
      <alignment horizontal="left"/>
    </xf>
    <xf numFmtId="164" fontId="11" fillId="0" borderId="0" applyNumberFormat="0" applyFill="0" applyBorder="0" applyProtection="0">
      <alignment horizontal="left"/>
    </xf>
    <xf numFmtId="164" fontId="12" fillId="10" borderId="0" applyNumberFormat="0" applyBorder="0" applyProtection="0">
      <alignment horizontal="left"/>
    </xf>
    <xf numFmtId="164" fontId="13" fillId="15" borderId="0" applyNumberFormat="0" applyBorder="0" applyProtection="0">
      <alignment horizontal="left"/>
    </xf>
    <xf numFmtId="164" fontId="14" fillId="0" borderId="0" applyNumberFormat="0" applyFill="0" applyBorder="0" applyProtection="0">
      <alignment horizontal="left"/>
    </xf>
    <xf numFmtId="164" fontId="0" fillId="10" borderId="7" applyNumberFormat="0" applyProtection="0">
      <alignment horizontal="left"/>
    </xf>
    <xf numFmtId="164" fontId="15" fillId="0" borderId="8" applyNumberFormat="0" applyFill="0" applyProtection="0">
      <alignment horizontal="left"/>
    </xf>
    <xf numFmtId="164" fontId="15" fillId="0" borderId="0" applyNumberFormat="0" applyFill="0" applyBorder="0" applyProtection="0">
      <alignment horizontal="left"/>
    </xf>
    <xf numFmtId="164" fontId="16" fillId="4" borderId="0" applyNumberFormat="0" applyBorder="0" applyProtection="0">
      <alignment horizontal="left"/>
    </xf>
  </cellStyleXfs>
  <cellXfs count="53"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7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top" wrapText="1"/>
    </xf>
    <xf numFmtId="164" fontId="1" fillId="0" borderId="9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/>
    </xf>
    <xf numFmtId="164" fontId="1" fillId="0" borderId="11" xfId="0" applyFont="1" applyBorder="1" applyAlignment="1">
      <alignment horizontal="center" vertical="top"/>
    </xf>
    <xf numFmtId="164" fontId="17" fillId="0" borderId="9" xfId="0" applyFont="1" applyBorder="1" applyAlignment="1">
      <alignment wrapText="1"/>
    </xf>
    <xf numFmtId="164" fontId="17" fillId="0" borderId="2" xfId="0" applyFont="1" applyBorder="1" applyAlignment="1">
      <alignment horizontal="center"/>
    </xf>
    <xf numFmtId="166" fontId="17" fillId="0" borderId="2" xfId="0" applyNumberFormat="1" applyFont="1" applyBorder="1" applyAlignment="1">
      <alignment horizontal="right"/>
    </xf>
    <xf numFmtId="164" fontId="17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17" fillId="0" borderId="2" xfId="0" applyFont="1" applyBorder="1" applyAlignment="1">
      <alignment/>
    </xf>
    <xf numFmtId="166" fontId="17" fillId="0" borderId="2" xfId="0" applyNumberFormat="1" applyFont="1" applyBorder="1" applyAlignment="1">
      <alignment/>
    </xf>
    <xf numFmtId="164" fontId="1" fillId="0" borderId="12" xfId="0" applyFont="1" applyBorder="1" applyAlignment="1">
      <alignment wrapText="1"/>
    </xf>
    <xf numFmtId="166" fontId="1" fillId="0" borderId="2" xfId="0" applyNumberFormat="1" applyFont="1" applyBorder="1" applyAlignment="1">
      <alignment horizontal="right"/>
    </xf>
    <xf numFmtId="164" fontId="17" fillId="0" borderId="12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10" xfId="0" applyFont="1" applyBorder="1" applyAlignment="1">
      <alignment wrapText="1"/>
    </xf>
    <xf numFmtId="166" fontId="1" fillId="5" borderId="2" xfId="0" applyNumberFormat="1" applyFont="1" applyFill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4" fontId="18" fillId="5" borderId="12" xfId="0" applyFont="1" applyFill="1" applyBorder="1" applyAlignment="1">
      <alignment wrapText="1"/>
    </xf>
    <xf numFmtId="164" fontId="18" fillId="5" borderId="2" xfId="0" applyFont="1" applyFill="1" applyBorder="1" applyAlignment="1">
      <alignment horizontal="center"/>
    </xf>
    <xf numFmtId="166" fontId="18" fillId="5" borderId="2" xfId="0" applyNumberFormat="1" applyFont="1" applyFill="1" applyBorder="1" applyAlignment="1">
      <alignment horizontal="right"/>
    </xf>
    <xf numFmtId="166" fontId="19" fillId="5" borderId="2" xfId="0" applyNumberFormat="1" applyFont="1" applyFill="1" applyBorder="1" applyAlignment="1">
      <alignment horizontal="right"/>
    </xf>
    <xf numFmtId="164" fontId="18" fillId="5" borderId="0" xfId="0" applyFont="1" applyFill="1" applyAlignment="1">
      <alignment horizontal="left"/>
    </xf>
    <xf numFmtId="168" fontId="17" fillId="0" borderId="2" xfId="0" applyNumberFormat="1" applyFont="1" applyBorder="1" applyAlignment="1">
      <alignment horizontal="right"/>
    </xf>
    <xf numFmtId="164" fontId="1" fillId="0" borderId="9" xfId="0" applyFont="1" applyBorder="1" applyAlignment="1">
      <alignment wrapText="1"/>
    </xf>
    <xf numFmtId="166" fontId="1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right"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center"/>
    </xf>
    <xf numFmtId="164" fontId="1" fillId="0" borderId="10" xfId="0" applyFont="1" applyBorder="1" applyAlignment="1">
      <alignment horizontal="right"/>
    </xf>
    <xf numFmtId="164" fontId="1" fillId="0" borderId="14" xfId="0" applyFont="1" applyBorder="1" applyAlignment="1">
      <alignment wrapText="1"/>
    </xf>
    <xf numFmtId="164" fontId="1" fillId="0" borderId="14" xfId="0" applyFont="1" applyBorder="1" applyAlignment="1">
      <alignment horizontal="right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181</xdr:row>
      <xdr:rowOff>9525</xdr:rowOff>
    </xdr:from>
    <xdr:to>
      <xdr:col>1</xdr:col>
      <xdr:colOff>276225</xdr:colOff>
      <xdr:row>181</xdr:row>
      <xdr:rowOff>57150</xdr:rowOff>
    </xdr:to>
    <xdr:sp fLocksText="0">
      <xdr:nvSpPr>
        <xdr:cNvPr id="1" name="Текст 3"/>
        <xdr:cNvSpPr txBox="1">
          <a:spLocks noChangeArrowheads="1"/>
        </xdr:cNvSpPr>
      </xdr:nvSpPr>
      <xdr:spPr>
        <a:xfrm>
          <a:off x="1181100" y="46596300"/>
          <a:ext cx="1704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workbookViewId="0" topLeftCell="A1">
      <selection activeCell="A183" sqref="A183"/>
    </sheetView>
  </sheetViews>
  <sheetFormatPr defaultColWidth="10.66015625" defaultRowHeight="5.25" customHeight="1"/>
  <cols>
    <col min="1" max="1" width="45.66015625" style="1" customWidth="1"/>
    <col min="2" max="2" width="5.66015625" style="1" customWidth="1"/>
    <col min="3" max="3" width="36.83203125" style="1" customWidth="1"/>
    <col min="4" max="4" width="18" style="1" customWidth="1"/>
    <col min="5" max="6" width="18.33203125" style="1" customWidth="1"/>
    <col min="7" max="9" width="0" style="1" hidden="1" customWidth="1"/>
    <col min="10" max="10" width="15" style="1" customWidth="1"/>
    <col min="11" max="12" width="0" style="1" hidden="1" customWidth="1"/>
    <col min="13" max="13" width="31.16015625" style="1" customWidth="1"/>
    <col min="14" max="16384" width="10.5" style="2" customWidth="1"/>
  </cols>
  <sheetData>
    <row r="1" spans="1:13" ht="12.75" customHeight="1">
      <c r="A1" s="3">
        <v>42736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1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6"/>
      <c r="H2" s="6"/>
      <c r="I2" s="6"/>
      <c r="J2" s="7" t="s">
        <v>5</v>
      </c>
      <c r="K2" s="7"/>
      <c r="L2" s="7"/>
      <c r="M2" s="7"/>
    </row>
    <row r="3" spans="1:13" ht="55.5" customHeight="1">
      <c r="A3" s="8"/>
      <c r="B3" s="5"/>
      <c r="C3" s="5"/>
      <c r="D3" s="5"/>
      <c r="E3" s="5"/>
      <c r="F3" s="5" t="s">
        <v>6</v>
      </c>
      <c r="G3" s="5" t="s">
        <v>7</v>
      </c>
      <c r="H3" s="5" t="s">
        <v>8</v>
      </c>
      <c r="I3" s="5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12.75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/>
      <c r="L4" s="11" t="s">
        <v>23</v>
      </c>
      <c r="M4" s="11" t="s">
        <v>23</v>
      </c>
    </row>
    <row r="5" spans="1:13" s="15" customFormat="1" ht="12.75" customHeight="1">
      <c r="A5" s="12" t="s">
        <v>24</v>
      </c>
      <c r="B5" s="13" t="s">
        <v>25</v>
      </c>
      <c r="C5" s="13" t="s">
        <v>26</v>
      </c>
      <c r="D5" s="14">
        <f>SUM(D7+D16+D18+D19+D21+D22+D31+D32+D33+D34+D35+D36+D37+D47+D51+D64+D82+D94+D114+D115+D116+D117+D118+D120+D17+D119+D20)</f>
        <v>114399076.58</v>
      </c>
      <c r="E5" s="14">
        <f>SUM(E7+E16+D17+E18+E19+E21+E22+E31+E32+E37+E47+E51+E64+E82+E94+E114+E115+E116+E117+E118+E120+E33+E34+E35+E36+E119+E20)</f>
        <v>114399076.58000001</v>
      </c>
      <c r="F5" s="14">
        <f>SUM(F7+F16+F18+F19+F21+F22+F31+F32+F37+F47+F51+F64+F82+F94+F114+F115+F116+F117+F118+F120+F17+F33+F34+F35+F36+F119+F20)</f>
        <v>90778139.35</v>
      </c>
      <c r="G5" s="14" t="s">
        <v>27</v>
      </c>
      <c r="H5" s="14" t="s">
        <v>27</v>
      </c>
      <c r="I5" s="14">
        <f>SUM(I7+I16+I18+I19+I21+I22+I31+I32+I37+I47+I51+I64+I82+I94+I114+I115+I116+I117+I118+I120+I17+I33+I34+I35+I36+I119+I20)</f>
        <v>90778139.35</v>
      </c>
      <c r="J5" s="14">
        <f>D5-F5</f>
        <v>23620937.230000004</v>
      </c>
      <c r="K5" s="14">
        <f>F5/D5*100</f>
        <v>79.35216092982907</v>
      </c>
      <c r="L5" s="14">
        <f>E5-F5</f>
        <v>23620937.23000002</v>
      </c>
      <c r="M5" s="14">
        <f>F5/E5*100</f>
        <v>79.35216092982907</v>
      </c>
    </row>
    <row r="6" spans="1:13" ht="10.5" customHeight="1">
      <c r="A6" s="16" t="s">
        <v>28</v>
      </c>
      <c r="B6" s="16"/>
      <c r="C6" s="17"/>
      <c r="D6" s="18"/>
      <c r="E6" s="18"/>
      <c r="F6" s="18"/>
      <c r="G6" s="18"/>
      <c r="H6" s="18" t="s">
        <v>29</v>
      </c>
      <c r="I6" s="18"/>
      <c r="J6" s="17"/>
      <c r="K6" s="17"/>
      <c r="L6" s="14"/>
      <c r="M6" s="17"/>
    </row>
    <row r="7" spans="1:13" ht="15.75" customHeight="1">
      <c r="A7" s="13" t="s">
        <v>30</v>
      </c>
      <c r="B7" s="13">
        <v>201</v>
      </c>
      <c r="C7" s="19"/>
      <c r="D7" s="20">
        <f>SUM(D8:D15)</f>
        <v>7867192.350000001</v>
      </c>
      <c r="E7" s="20">
        <f>SUM(E8:E15)</f>
        <v>7867192.350000001</v>
      </c>
      <c r="F7" s="20">
        <f>SUM(F8:F15)</f>
        <v>7847613.260000001</v>
      </c>
      <c r="G7" s="20"/>
      <c r="H7" s="20"/>
      <c r="I7" s="20">
        <f>SUM(I8:I15)</f>
        <v>7847613.260000001</v>
      </c>
      <c r="J7" s="14">
        <f aca="true" t="shared" si="0" ref="J7:J66">D7-F7</f>
        <v>19579.08999999985</v>
      </c>
      <c r="K7" s="14">
        <f aca="true" t="shared" si="1" ref="K7:K11">F7/D7*100</f>
        <v>99.75112989324583</v>
      </c>
      <c r="L7" s="14">
        <f aca="true" t="shared" si="2" ref="L7:L66">E7-F7</f>
        <v>19579.08999999985</v>
      </c>
      <c r="M7" s="14">
        <f aca="true" t="shared" si="3" ref="M7:M11">F7/E7*100</f>
        <v>99.75112989324583</v>
      </c>
    </row>
    <row r="8" spans="1:13" ht="24" customHeight="1">
      <c r="A8" s="21" t="s">
        <v>31</v>
      </c>
      <c r="B8" s="16"/>
      <c r="C8" s="16" t="s">
        <v>32</v>
      </c>
      <c r="D8" s="22">
        <f>5264497.94-100+781000</f>
        <v>6045397.94</v>
      </c>
      <c r="E8" s="22">
        <f>5264397.94+781000</f>
        <v>6045397.94</v>
      </c>
      <c r="F8" s="22">
        <f>3754668.88+571648.84+814827+343955.7+545397.75</f>
        <v>6030498.17</v>
      </c>
      <c r="G8" s="22" t="s">
        <v>27</v>
      </c>
      <c r="H8" s="22"/>
      <c r="I8" s="22">
        <f>3754668.88+571648.84+814827+343955.7+545397.75</f>
        <v>6030498.17</v>
      </c>
      <c r="J8" s="14">
        <f t="shared" si="0"/>
        <v>14899.770000000484</v>
      </c>
      <c r="K8" s="14">
        <f t="shared" si="1"/>
        <v>99.75353533137307</v>
      </c>
      <c r="L8" s="14">
        <f t="shared" si="2"/>
        <v>14899.770000000484</v>
      </c>
      <c r="M8" s="22">
        <f t="shared" si="3"/>
        <v>99.75353533137307</v>
      </c>
    </row>
    <row r="9" spans="1:13" ht="18.75" customHeight="1">
      <c r="A9" s="21" t="s">
        <v>33</v>
      </c>
      <c r="B9" s="16"/>
      <c r="C9" s="16" t="s">
        <v>34</v>
      </c>
      <c r="D9" s="22">
        <f>1589878.38+161000</f>
        <v>1750878.38</v>
      </c>
      <c r="E9" s="22">
        <f>1589878.38+161000</f>
        <v>1750878.38</v>
      </c>
      <c r="F9" s="22">
        <f>1107004.28+229766.28+202393.41+119296.16+91588.52</f>
        <v>1750048.65</v>
      </c>
      <c r="G9" s="22" t="s">
        <v>27</v>
      </c>
      <c r="H9" s="22"/>
      <c r="I9" s="22">
        <f>1107004.28+229766.28+202393.41+119296.16+91588.52</f>
        <v>1750048.65</v>
      </c>
      <c r="J9" s="14">
        <f t="shared" si="0"/>
        <v>829.7299999999814</v>
      </c>
      <c r="K9" s="14">
        <f t="shared" si="1"/>
        <v>99.95261064335034</v>
      </c>
      <c r="L9" s="14">
        <f t="shared" si="2"/>
        <v>829.7299999999814</v>
      </c>
      <c r="M9" s="22">
        <f t="shared" si="3"/>
        <v>99.95261064335034</v>
      </c>
    </row>
    <row r="10" spans="1:13" ht="18.75" customHeight="1">
      <c r="A10" s="21" t="s">
        <v>35</v>
      </c>
      <c r="B10" s="16"/>
      <c r="C10" s="16" t="s">
        <v>36</v>
      </c>
      <c r="D10" s="22">
        <f>1954.98-1954.98+1912.41+4.03</f>
        <v>1916.44</v>
      </c>
      <c r="E10" s="22">
        <f>1954.98-1954.98+1912.41+4.03</f>
        <v>1916.44</v>
      </c>
      <c r="F10" s="22">
        <f>1912.41+4.03</f>
        <v>1916.44</v>
      </c>
      <c r="G10" s="22" t="s">
        <v>27</v>
      </c>
      <c r="H10" s="22"/>
      <c r="I10" s="22">
        <f>1912.41+4.03</f>
        <v>1916.44</v>
      </c>
      <c r="J10" s="14">
        <f t="shared" si="0"/>
        <v>0</v>
      </c>
      <c r="K10" s="14">
        <f t="shared" si="1"/>
        <v>100</v>
      </c>
      <c r="L10" s="14">
        <f t="shared" si="2"/>
        <v>0</v>
      </c>
      <c r="M10" s="22">
        <f t="shared" si="3"/>
        <v>100</v>
      </c>
    </row>
    <row r="11" spans="1:13" ht="20.25" customHeight="1">
      <c r="A11" s="21" t="s">
        <v>37</v>
      </c>
      <c r="B11" s="16"/>
      <c r="C11" s="16" t="s">
        <v>38</v>
      </c>
      <c r="D11" s="22">
        <f>50000-1912.41</f>
        <v>48087.59</v>
      </c>
      <c r="E11" s="22">
        <f>50000-1912.41</f>
        <v>48087.59</v>
      </c>
      <c r="F11" s="22">
        <f>10598.22+3296.97+3496.25+4387.81+3531.5+4428.47+4083.71+3554.59+3507.91+3409.59</f>
        <v>44295.020000000004</v>
      </c>
      <c r="G11" s="22" t="s">
        <v>27</v>
      </c>
      <c r="H11" s="22"/>
      <c r="I11" s="22">
        <f>10598.22+3296.97+3496.25+4387.81+3531.5+4428.47+4083.71+3554.59+3507.91+3409.59</f>
        <v>44295.020000000004</v>
      </c>
      <c r="J11" s="14">
        <f t="shared" si="0"/>
        <v>3792.5699999999924</v>
      </c>
      <c r="K11" s="14">
        <f t="shared" si="1"/>
        <v>92.11320425914464</v>
      </c>
      <c r="L11" s="14">
        <f t="shared" si="2"/>
        <v>3792.5699999999924</v>
      </c>
      <c r="M11" s="22">
        <f t="shared" si="3"/>
        <v>92.11320425914464</v>
      </c>
    </row>
    <row r="12" spans="1:13" ht="19.5" customHeight="1">
      <c r="A12" s="21" t="s">
        <v>39</v>
      </c>
      <c r="B12" s="16"/>
      <c r="C12" s="16" t="s">
        <v>40</v>
      </c>
      <c r="D12" s="22">
        <f>512-454.98</f>
        <v>57.01999999999998</v>
      </c>
      <c r="E12" s="22">
        <v>57.02</v>
      </c>
      <c r="F12" s="22">
        <v>0</v>
      </c>
      <c r="G12" s="22" t="s">
        <v>27</v>
      </c>
      <c r="H12" s="22"/>
      <c r="I12" s="22">
        <v>0</v>
      </c>
      <c r="J12" s="14">
        <f t="shared" si="0"/>
        <v>57.01999999999998</v>
      </c>
      <c r="K12" s="14"/>
      <c r="L12" s="14">
        <f t="shared" si="2"/>
        <v>57.02</v>
      </c>
      <c r="M12" s="22">
        <v>0</v>
      </c>
    </row>
    <row r="13" spans="1:13" ht="21.75" customHeight="1">
      <c r="A13" s="21" t="s">
        <v>35</v>
      </c>
      <c r="B13" s="16"/>
      <c r="C13" s="16" t="s">
        <v>41</v>
      </c>
      <c r="D13" s="22">
        <v>1954.98</v>
      </c>
      <c r="E13" s="22">
        <v>1954.98</v>
      </c>
      <c r="F13" s="22">
        <v>1954.98</v>
      </c>
      <c r="G13" s="22" t="s">
        <v>27</v>
      </c>
      <c r="H13" s="22" t="s">
        <v>27</v>
      </c>
      <c r="I13" s="22">
        <v>1954.98</v>
      </c>
      <c r="J13" s="14">
        <f t="shared" si="0"/>
        <v>0</v>
      </c>
      <c r="K13" s="14">
        <f>F13/D13*100</f>
        <v>100</v>
      </c>
      <c r="L13" s="14">
        <f t="shared" si="2"/>
        <v>0</v>
      </c>
      <c r="M13" s="22">
        <f>F13/E13*100</f>
        <v>100</v>
      </c>
    </row>
    <row r="14" spans="1:13" ht="33" customHeight="1">
      <c r="A14" s="21" t="s">
        <v>42</v>
      </c>
      <c r="B14" s="16"/>
      <c r="C14" s="16" t="s">
        <v>43</v>
      </c>
      <c r="D14" s="22">
        <f>9500+9400</f>
        <v>18900</v>
      </c>
      <c r="E14" s="22">
        <f>9500+9400</f>
        <v>18900</v>
      </c>
      <c r="F14" s="22">
        <f>170+18730</f>
        <v>18900</v>
      </c>
      <c r="G14" s="22" t="s">
        <v>27</v>
      </c>
      <c r="H14" s="22" t="s">
        <v>27</v>
      </c>
      <c r="I14" s="22">
        <f>170+18730</f>
        <v>18900</v>
      </c>
      <c r="J14" s="14">
        <f t="shared" si="0"/>
        <v>0</v>
      </c>
      <c r="K14" s="14"/>
      <c r="L14" s="14">
        <f t="shared" si="2"/>
        <v>0</v>
      </c>
      <c r="M14" s="22">
        <v>0</v>
      </c>
    </row>
    <row r="15" spans="1:13" ht="27" customHeight="1">
      <c r="A15" s="21" t="s">
        <v>37</v>
      </c>
      <c r="B15" s="16"/>
      <c r="C15" s="16" t="s">
        <v>44</v>
      </c>
      <c r="D15" s="22">
        <f>9400-9400</f>
        <v>0</v>
      </c>
      <c r="E15" s="22">
        <f>9400-9400</f>
        <v>0</v>
      </c>
      <c r="F15" s="22">
        <v>0</v>
      </c>
      <c r="G15" s="22"/>
      <c r="H15" s="22"/>
      <c r="I15" s="22">
        <v>0</v>
      </c>
      <c r="J15" s="14">
        <f t="shared" si="0"/>
        <v>0</v>
      </c>
      <c r="K15" s="14">
        <v>0</v>
      </c>
      <c r="L15" s="14">
        <f t="shared" si="2"/>
        <v>0</v>
      </c>
      <c r="M15" s="22">
        <v>0</v>
      </c>
    </row>
    <row r="16" spans="1:13" ht="24" customHeight="1">
      <c r="A16" s="23" t="s">
        <v>45</v>
      </c>
      <c r="B16" s="13">
        <v>202</v>
      </c>
      <c r="C16" s="13" t="s">
        <v>46</v>
      </c>
      <c r="D16" s="14">
        <f>3000-2250</f>
        <v>750</v>
      </c>
      <c r="E16" s="14">
        <v>750</v>
      </c>
      <c r="F16" s="14">
        <v>750</v>
      </c>
      <c r="G16" s="22"/>
      <c r="H16" s="22"/>
      <c r="I16" s="14">
        <v>750</v>
      </c>
      <c r="J16" s="14">
        <f t="shared" si="0"/>
        <v>0</v>
      </c>
      <c r="K16" s="14"/>
      <c r="L16" s="14">
        <f t="shared" si="2"/>
        <v>0</v>
      </c>
      <c r="M16" s="14">
        <f aca="true" t="shared" si="4" ref="M16:M20">F16/E16*100</f>
        <v>100</v>
      </c>
    </row>
    <row r="17" spans="1:13" ht="24" customHeight="1">
      <c r="A17" s="23" t="s">
        <v>45</v>
      </c>
      <c r="B17" s="13">
        <v>202</v>
      </c>
      <c r="C17" s="13" t="s">
        <v>47</v>
      </c>
      <c r="D17" s="14">
        <f>2250+750</f>
        <v>3000</v>
      </c>
      <c r="E17" s="14">
        <f>2250+750</f>
        <v>3000</v>
      </c>
      <c r="F17" s="14">
        <f>1250+750+1000</f>
        <v>3000</v>
      </c>
      <c r="G17" s="22"/>
      <c r="H17" s="22"/>
      <c r="I17" s="14">
        <f>1250+750+1000</f>
        <v>3000</v>
      </c>
      <c r="J17" s="14">
        <f t="shared" si="0"/>
        <v>0</v>
      </c>
      <c r="K17" s="14"/>
      <c r="L17" s="14">
        <f t="shared" si="2"/>
        <v>0</v>
      </c>
      <c r="M17" s="14">
        <f t="shared" si="4"/>
        <v>100</v>
      </c>
    </row>
    <row r="18" spans="1:13" ht="27" customHeight="1">
      <c r="A18" s="23" t="s">
        <v>48</v>
      </c>
      <c r="B18" s="13">
        <v>205</v>
      </c>
      <c r="C18" s="13" t="s">
        <v>49</v>
      </c>
      <c r="D18" s="14">
        <f>200000+111462.1+1471.94+19148.3+14456.75</f>
        <v>346539.08999999997</v>
      </c>
      <c r="E18" s="14">
        <f>311462.1+1471.94+19148.3+14456.75</f>
        <v>346539.08999999997</v>
      </c>
      <c r="F18" s="14">
        <f>193681.24+61462.1+57790.7+19148.3+8456.75</f>
        <v>340539.08999999997</v>
      </c>
      <c r="G18" s="22"/>
      <c r="H18" s="22"/>
      <c r="I18" s="14">
        <f>193681.24+61462.1+57790.7+19148.3+8456.75</f>
        <v>340539.08999999997</v>
      </c>
      <c r="J18" s="14">
        <f t="shared" si="0"/>
        <v>6000</v>
      </c>
      <c r="K18" s="14">
        <f>F18/D18*100</f>
        <v>98.2685935950256</v>
      </c>
      <c r="L18" s="14">
        <f t="shared" si="2"/>
        <v>6000</v>
      </c>
      <c r="M18" s="14">
        <f t="shared" si="4"/>
        <v>98.2685935950256</v>
      </c>
    </row>
    <row r="19" spans="1:13" ht="37.5" customHeight="1">
      <c r="A19" s="23" t="s">
        <v>50</v>
      </c>
      <c r="B19" s="13">
        <v>206</v>
      </c>
      <c r="C19" s="13" t="s">
        <v>51</v>
      </c>
      <c r="D19" s="14">
        <f>20000-17000</f>
        <v>3000</v>
      </c>
      <c r="E19" s="14">
        <f>20000-17000</f>
        <v>3000</v>
      </c>
      <c r="F19" s="14">
        <v>3000</v>
      </c>
      <c r="G19" s="22"/>
      <c r="H19" s="22"/>
      <c r="I19" s="14">
        <v>3000</v>
      </c>
      <c r="J19" s="14">
        <f t="shared" si="0"/>
        <v>0</v>
      </c>
      <c r="K19" s="14"/>
      <c r="L19" s="14">
        <f t="shared" si="2"/>
        <v>0</v>
      </c>
      <c r="M19" s="14">
        <f t="shared" si="4"/>
        <v>100</v>
      </c>
    </row>
    <row r="20" spans="1:13" ht="37.5" customHeight="1">
      <c r="A20" s="23" t="s">
        <v>50</v>
      </c>
      <c r="B20" s="13">
        <v>206</v>
      </c>
      <c r="C20" s="13" t="s">
        <v>52</v>
      </c>
      <c r="D20" s="14">
        <v>17000</v>
      </c>
      <c r="E20" s="14">
        <v>17000</v>
      </c>
      <c r="F20" s="14">
        <v>17000</v>
      </c>
      <c r="G20" s="22"/>
      <c r="H20" s="22"/>
      <c r="I20" s="14">
        <v>17000</v>
      </c>
      <c r="J20" s="14">
        <f t="shared" si="0"/>
        <v>0</v>
      </c>
      <c r="K20" s="14"/>
      <c r="L20" s="14">
        <f t="shared" si="2"/>
        <v>0</v>
      </c>
      <c r="M20" s="14">
        <f t="shared" si="4"/>
        <v>100</v>
      </c>
    </row>
    <row r="21" spans="1:13" s="15" customFormat="1" ht="25.5" customHeight="1">
      <c r="A21" s="23" t="s">
        <v>53</v>
      </c>
      <c r="B21" s="13">
        <v>209</v>
      </c>
      <c r="C21" s="13" t="s">
        <v>54</v>
      </c>
      <c r="D21" s="14">
        <f>1000000-4000-82000-4000-157500-119000-15000-65000-229000-92000-167000-20000-29500</f>
        <v>16000</v>
      </c>
      <c r="E21" s="14">
        <f>996000-82000-4000-157500-119000-15000-65000-229000-92000-167000-20000-29500</f>
        <v>16000</v>
      </c>
      <c r="F21" s="14">
        <v>0</v>
      </c>
      <c r="G21" s="14" t="s">
        <v>27</v>
      </c>
      <c r="H21" s="14" t="s">
        <v>27</v>
      </c>
      <c r="I21" s="14">
        <v>0</v>
      </c>
      <c r="J21" s="14">
        <f t="shared" si="0"/>
        <v>16000</v>
      </c>
      <c r="K21" s="14">
        <f aca="true" t="shared" si="5" ref="K21:K66">F21/D21*100</f>
        <v>0</v>
      </c>
      <c r="L21" s="14">
        <f t="shared" si="2"/>
        <v>16000</v>
      </c>
      <c r="M21" s="14">
        <v>0</v>
      </c>
    </row>
    <row r="22" spans="1:13" s="15" customFormat="1" ht="36.75" customHeight="1">
      <c r="A22" s="23" t="s">
        <v>55</v>
      </c>
      <c r="B22" s="13">
        <v>210</v>
      </c>
      <c r="C22" s="13"/>
      <c r="D22" s="14">
        <f>SUM(D23:D30)</f>
        <v>1864859.6099999999</v>
      </c>
      <c r="E22" s="14">
        <f>SUM(E23:E30)</f>
        <v>1864859.6099999999</v>
      </c>
      <c r="F22" s="14">
        <f>SUM(F23:F30)</f>
        <v>1663725.96</v>
      </c>
      <c r="G22" s="14"/>
      <c r="H22" s="14"/>
      <c r="I22" s="14">
        <f>SUM(I23:I30)</f>
        <v>1663725.96</v>
      </c>
      <c r="J22" s="14">
        <f t="shared" si="0"/>
        <v>201133.6499999999</v>
      </c>
      <c r="K22" s="14">
        <f t="shared" si="5"/>
        <v>89.21454199975945</v>
      </c>
      <c r="L22" s="14">
        <f t="shared" si="2"/>
        <v>201133.6499999999</v>
      </c>
      <c r="M22" s="14">
        <f aca="true" t="shared" si="6" ref="M22:M24">F22/E22*100</f>
        <v>89.21454199975945</v>
      </c>
    </row>
    <row r="23" spans="1:13" s="15" customFormat="1" ht="31.5" customHeight="1">
      <c r="A23" s="24" t="s">
        <v>56</v>
      </c>
      <c r="B23" s="13"/>
      <c r="C23" s="16" t="s">
        <v>57</v>
      </c>
      <c r="D23" s="22">
        <f>782000-6000+401941.67+112812.94+162805</f>
        <v>1453559.6099999999</v>
      </c>
      <c r="E23" s="22">
        <f>1177941.67+112812.94+162805</f>
        <v>1453559.6099999999</v>
      </c>
      <c r="F23" s="22">
        <f>169583.58+124307+231291.46+1947+71484+118384.63+244944+100827+227985.94+153805</f>
        <v>1444559.6099999999</v>
      </c>
      <c r="G23" s="14"/>
      <c r="H23" s="14"/>
      <c r="I23" s="22">
        <f>169583.58+124307+231291.46+1947+71484+118384.63+244944+100827+227985.94+153805</f>
        <v>1444559.6099999999</v>
      </c>
      <c r="J23" s="14">
        <f t="shared" si="0"/>
        <v>9000</v>
      </c>
      <c r="K23" s="14">
        <f t="shared" si="5"/>
        <v>99.38083034654493</v>
      </c>
      <c r="L23" s="14">
        <f t="shared" si="2"/>
        <v>9000</v>
      </c>
      <c r="M23" s="14">
        <f t="shared" si="6"/>
        <v>99.38083034654493</v>
      </c>
    </row>
    <row r="24" spans="1:13" s="15" customFormat="1" ht="31.5" customHeight="1">
      <c r="A24" s="24" t="s">
        <v>56</v>
      </c>
      <c r="B24" s="13"/>
      <c r="C24" s="16" t="s">
        <v>58</v>
      </c>
      <c r="D24" s="22">
        <v>308000</v>
      </c>
      <c r="E24" s="22">
        <v>308000</v>
      </c>
      <c r="F24" s="22">
        <f>52000+52000+52000</f>
        <v>156000</v>
      </c>
      <c r="G24" s="14"/>
      <c r="H24" s="14"/>
      <c r="I24" s="22">
        <f>52000+52000+52000</f>
        <v>156000</v>
      </c>
      <c r="J24" s="14">
        <f t="shared" si="0"/>
        <v>152000</v>
      </c>
      <c r="K24" s="14">
        <f t="shared" si="5"/>
        <v>50.649350649350644</v>
      </c>
      <c r="L24" s="14">
        <f t="shared" si="2"/>
        <v>152000</v>
      </c>
      <c r="M24" s="14">
        <f t="shared" si="6"/>
        <v>50.649350649350644</v>
      </c>
    </row>
    <row r="25" spans="1:13" s="15" customFormat="1" ht="31.5" customHeight="1">
      <c r="A25" s="21" t="s">
        <v>42</v>
      </c>
      <c r="B25" s="13"/>
      <c r="C25" s="16" t="s">
        <v>59</v>
      </c>
      <c r="D25" s="22">
        <f>50000-8750-3000</f>
        <v>38250</v>
      </c>
      <c r="E25" s="22">
        <f>41250-3000</f>
        <v>38250</v>
      </c>
      <c r="F25" s="22">
        <v>1000</v>
      </c>
      <c r="G25" s="14"/>
      <c r="H25" s="14"/>
      <c r="I25" s="22">
        <v>1000</v>
      </c>
      <c r="J25" s="14">
        <f t="shared" si="0"/>
        <v>37250</v>
      </c>
      <c r="K25" s="14">
        <f t="shared" si="5"/>
        <v>2.6143790849673203</v>
      </c>
      <c r="L25" s="14">
        <f t="shared" si="2"/>
        <v>37250</v>
      </c>
      <c r="M25" s="14"/>
    </row>
    <row r="26" spans="1:13" s="15" customFormat="1" ht="31.5" customHeight="1">
      <c r="A26" s="21" t="s">
        <v>42</v>
      </c>
      <c r="B26" s="13"/>
      <c r="C26" s="16" t="s">
        <v>60</v>
      </c>
      <c r="D26" s="22">
        <v>3000</v>
      </c>
      <c r="E26" s="22">
        <v>3000</v>
      </c>
      <c r="F26" s="22">
        <v>3000</v>
      </c>
      <c r="G26" s="14"/>
      <c r="H26" s="14"/>
      <c r="I26" s="22">
        <v>3000</v>
      </c>
      <c r="J26" s="14">
        <f t="shared" si="0"/>
        <v>0</v>
      </c>
      <c r="K26" s="14">
        <f t="shared" si="5"/>
        <v>100</v>
      </c>
      <c r="L26" s="14">
        <f t="shared" si="2"/>
        <v>0</v>
      </c>
      <c r="M26" s="14"/>
    </row>
    <row r="27" spans="1:13" s="15" customFormat="1" ht="20.25" customHeight="1">
      <c r="A27" s="25" t="s">
        <v>35</v>
      </c>
      <c r="B27" s="13"/>
      <c r="C27" s="16" t="s">
        <v>61</v>
      </c>
      <c r="D27" s="22">
        <f>13000-1706.69-4000-707-167.66</f>
        <v>6418.65</v>
      </c>
      <c r="E27" s="22">
        <f>13000-1706.69-4000-707-167.66</f>
        <v>6418.65</v>
      </c>
      <c r="F27" s="22">
        <v>3535</v>
      </c>
      <c r="G27" s="14"/>
      <c r="H27" s="14"/>
      <c r="I27" s="22">
        <v>3535</v>
      </c>
      <c r="J27" s="14">
        <f t="shared" si="0"/>
        <v>2883.6499999999996</v>
      </c>
      <c r="K27" s="14">
        <f t="shared" si="5"/>
        <v>55.07388625333988</v>
      </c>
      <c r="L27" s="14">
        <f t="shared" si="2"/>
        <v>2883.6499999999996</v>
      </c>
      <c r="M27" s="14">
        <f aca="true" t="shared" si="7" ref="M27:M32">F27/E27*100</f>
        <v>55.07388625333988</v>
      </c>
    </row>
    <row r="28" spans="1:13" s="15" customFormat="1" ht="20.25" customHeight="1">
      <c r="A28" s="25" t="s">
        <v>35</v>
      </c>
      <c r="B28" s="13"/>
      <c r="C28" s="16" t="s">
        <v>62</v>
      </c>
      <c r="D28" s="22">
        <f>10505.69+167.66+1300</f>
        <v>11973.35</v>
      </c>
      <c r="E28" s="22">
        <f>10505.69+167.66+1300</f>
        <v>11973.35</v>
      </c>
      <c r="F28" s="22">
        <f>505.69+10000+167.66+1300</f>
        <v>11973.35</v>
      </c>
      <c r="G28" s="14"/>
      <c r="H28" s="14"/>
      <c r="I28" s="22">
        <f>505.69+10000+167.66+1300</f>
        <v>11973.35</v>
      </c>
      <c r="J28" s="14">
        <f t="shared" si="0"/>
        <v>0</v>
      </c>
      <c r="K28" s="14">
        <f t="shared" si="5"/>
        <v>100</v>
      </c>
      <c r="L28" s="14">
        <f t="shared" si="2"/>
        <v>0</v>
      </c>
      <c r="M28" s="14">
        <f t="shared" si="7"/>
        <v>100</v>
      </c>
    </row>
    <row r="29" spans="1:13" s="15" customFormat="1" ht="20.25" customHeight="1">
      <c r="A29" s="25" t="s">
        <v>35</v>
      </c>
      <c r="B29" s="13"/>
      <c r="C29" s="16" t="s">
        <v>63</v>
      </c>
      <c r="D29" s="22">
        <f>25000+8750+8000</f>
        <v>41750</v>
      </c>
      <c r="E29" s="22">
        <f>33750+8000</f>
        <v>41750</v>
      </c>
      <c r="F29" s="22">
        <f>6000+2500+20250+3000+1500+500+8000</f>
        <v>41750</v>
      </c>
      <c r="G29" s="14"/>
      <c r="H29" s="14"/>
      <c r="I29" s="22">
        <f>6000+2500+20250+3000+1500+500+8000</f>
        <v>41750</v>
      </c>
      <c r="J29" s="14">
        <f t="shared" si="0"/>
        <v>0</v>
      </c>
      <c r="K29" s="14">
        <f t="shared" si="5"/>
        <v>100</v>
      </c>
      <c r="L29" s="14">
        <f t="shared" si="2"/>
        <v>0</v>
      </c>
      <c r="M29" s="14">
        <f t="shared" si="7"/>
        <v>100</v>
      </c>
    </row>
    <row r="30" spans="1:13" s="15" customFormat="1" ht="20.25" customHeight="1">
      <c r="A30" s="25" t="s">
        <v>35</v>
      </c>
      <c r="B30" s="13"/>
      <c r="C30" s="16" t="s">
        <v>64</v>
      </c>
      <c r="D30" s="22">
        <f>1201+707</f>
        <v>1908</v>
      </c>
      <c r="E30" s="22">
        <f>1201+707</f>
        <v>1908</v>
      </c>
      <c r="F30" s="22">
        <v>1908</v>
      </c>
      <c r="G30" s="14"/>
      <c r="H30" s="14"/>
      <c r="I30" s="22">
        <v>1908</v>
      </c>
      <c r="J30" s="14">
        <f t="shared" si="0"/>
        <v>0</v>
      </c>
      <c r="K30" s="14">
        <f t="shared" si="5"/>
        <v>100</v>
      </c>
      <c r="L30" s="14">
        <f t="shared" si="2"/>
        <v>0</v>
      </c>
      <c r="M30" s="14">
        <f t="shared" si="7"/>
        <v>100</v>
      </c>
    </row>
    <row r="31" spans="1:13" s="15" customFormat="1" ht="28.5" customHeight="1">
      <c r="A31" s="23" t="s">
        <v>65</v>
      </c>
      <c r="B31" s="13">
        <v>211</v>
      </c>
      <c r="C31" s="13" t="s">
        <v>66</v>
      </c>
      <c r="D31" s="14">
        <f>15051900+16000-138170-148240-200000-300000-1814709.5-362820.06+6630000+3057174.58+766597.18+3416397.15+3816692.38</f>
        <v>29790821.729999993</v>
      </c>
      <c r="E31" s="14">
        <f>21791135.02+766597.18+3416397.15+3816692.38</f>
        <v>29790821.729999997</v>
      </c>
      <c r="F31" s="14">
        <f>1050177.75+2222406.84+2179177.1+2193352.21+2728685.13+5069381.18+5047954.81+2066597.18+2906362.49+972743.68</f>
        <v>26436838.369999997</v>
      </c>
      <c r="G31" s="14"/>
      <c r="H31" s="14"/>
      <c r="I31" s="14">
        <f>1050177.75+2222406.84+2179177.1+2193352.21+2728685.13+5069381.18+5047954.81+2066597.18+2906362.49+972743.68</f>
        <v>26436838.369999997</v>
      </c>
      <c r="J31" s="14">
        <f t="shared" si="0"/>
        <v>3353983.3599999957</v>
      </c>
      <c r="K31" s="14">
        <f t="shared" si="5"/>
        <v>88.74155472985002</v>
      </c>
      <c r="L31" s="14">
        <f t="shared" si="2"/>
        <v>3353983.3599999994</v>
      </c>
      <c r="M31" s="14">
        <f t="shared" si="7"/>
        <v>88.74155472985001</v>
      </c>
    </row>
    <row r="32" spans="1:13" s="15" customFormat="1" ht="28.5" customHeight="1">
      <c r="A32" s="23" t="s">
        <v>65</v>
      </c>
      <c r="B32" s="13">
        <v>212</v>
      </c>
      <c r="C32" s="13" t="s">
        <v>67</v>
      </c>
      <c r="D32" s="14">
        <f>138170+148240+200000+300000+370000+30000</f>
        <v>1186410</v>
      </c>
      <c r="E32" s="14">
        <f>1156410+30000</f>
        <v>1186410</v>
      </c>
      <c r="F32" s="14">
        <f>138170+148240+200000+300000+370000+30000</f>
        <v>1186410</v>
      </c>
      <c r="G32" s="14"/>
      <c r="H32" s="14"/>
      <c r="I32" s="14">
        <f>138170+148240+200000+300000+370000+30000</f>
        <v>1186410</v>
      </c>
      <c r="J32" s="14">
        <f t="shared" si="0"/>
        <v>0</v>
      </c>
      <c r="K32" s="14">
        <f t="shared" si="5"/>
        <v>100</v>
      </c>
      <c r="L32" s="14">
        <f t="shared" si="2"/>
        <v>0</v>
      </c>
      <c r="M32" s="14">
        <f t="shared" si="7"/>
        <v>100</v>
      </c>
    </row>
    <row r="33" spans="1:13" s="15" customFormat="1" ht="28.5" customHeight="1">
      <c r="A33" s="23"/>
      <c r="B33" s="13"/>
      <c r="C33" s="13" t="s">
        <v>68</v>
      </c>
      <c r="D33" s="14">
        <v>2000000</v>
      </c>
      <c r="E33" s="14">
        <v>2000000</v>
      </c>
      <c r="F33" s="14">
        <v>2000000</v>
      </c>
      <c r="G33" s="14"/>
      <c r="H33" s="14"/>
      <c r="I33" s="14">
        <v>2000000</v>
      </c>
      <c r="J33" s="14">
        <f t="shared" si="0"/>
        <v>0</v>
      </c>
      <c r="K33" s="14">
        <f t="shared" si="5"/>
        <v>100</v>
      </c>
      <c r="L33" s="14">
        <f t="shared" si="2"/>
        <v>0</v>
      </c>
      <c r="M33" s="14"/>
    </row>
    <row r="34" spans="1:13" s="15" customFormat="1" ht="28.5" customHeight="1">
      <c r="A34" s="23"/>
      <c r="B34" s="13"/>
      <c r="C34" s="13" t="s">
        <v>69</v>
      </c>
      <c r="D34" s="14">
        <v>362820.06</v>
      </c>
      <c r="E34" s="14">
        <v>362820.06</v>
      </c>
      <c r="F34" s="14">
        <v>362820.06</v>
      </c>
      <c r="G34" s="14"/>
      <c r="H34" s="14"/>
      <c r="I34" s="14">
        <v>362820.06</v>
      </c>
      <c r="J34" s="14">
        <f t="shared" si="0"/>
        <v>0</v>
      </c>
      <c r="K34" s="14">
        <f t="shared" si="5"/>
        <v>100</v>
      </c>
      <c r="L34" s="14">
        <f t="shared" si="2"/>
        <v>0</v>
      </c>
      <c r="M34" s="14"/>
    </row>
    <row r="35" spans="1:13" s="15" customFormat="1" ht="28.5" customHeight="1">
      <c r="A35" s="23"/>
      <c r="B35" s="13"/>
      <c r="C35" s="13" t="s">
        <v>70</v>
      </c>
      <c r="D35" s="14">
        <f>899900-122100</f>
        <v>777800</v>
      </c>
      <c r="E35" s="14">
        <f>899900-122100</f>
        <v>777800</v>
      </c>
      <c r="F35" s="14">
        <v>777732.6</v>
      </c>
      <c r="G35" s="14"/>
      <c r="H35" s="14"/>
      <c r="I35" s="14">
        <v>777732.6</v>
      </c>
      <c r="J35" s="14">
        <f t="shared" si="0"/>
        <v>67.40000000002328</v>
      </c>
      <c r="K35" s="14">
        <f t="shared" si="5"/>
        <v>99.99133453329905</v>
      </c>
      <c r="L35" s="14">
        <f t="shared" si="2"/>
        <v>67.40000000002328</v>
      </c>
      <c r="M35" s="14"/>
    </row>
    <row r="36" spans="1:13" s="15" customFormat="1" ht="28.5" customHeight="1">
      <c r="A36" s="23"/>
      <c r="B36" s="13"/>
      <c r="C36" s="13" t="s">
        <v>71</v>
      </c>
      <c r="D36" s="14">
        <f>1814709.5+0.23</f>
        <v>1814709.73</v>
      </c>
      <c r="E36" s="14">
        <f>1814709.5+0.23</f>
        <v>1814709.73</v>
      </c>
      <c r="F36" s="14">
        <v>1814709.73</v>
      </c>
      <c r="G36" s="14"/>
      <c r="H36" s="14"/>
      <c r="I36" s="14">
        <v>1814709.73</v>
      </c>
      <c r="J36" s="14">
        <f t="shared" si="0"/>
        <v>0</v>
      </c>
      <c r="K36" s="14">
        <f t="shared" si="5"/>
        <v>100</v>
      </c>
      <c r="L36" s="14">
        <f t="shared" si="2"/>
        <v>0</v>
      </c>
      <c r="M36" s="14"/>
    </row>
    <row r="37" spans="1:13" s="15" customFormat="1" ht="17.25" customHeight="1">
      <c r="A37" s="23" t="s">
        <v>72</v>
      </c>
      <c r="B37" s="13">
        <v>213</v>
      </c>
      <c r="C37" s="13" t="s">
        <v>73</v>
      </c>
      <c r="D37" s="14">
        <f>SUM(D38:D46)</f>
        <v>24516066.740000002</v>
      </c>
      <c r="E37" s="14">
        <f>SUM(E38:E46)</f>
        <v>24516066.740000002</v>
      </c>
      <c r="F37" s="14">
        <f>SUM(F38:F46)</f>
        <v>8445275.4</v>
      </c>
      <c r="G37" s="14"/>
      <c r="H37" s="14"/>
      <c r="I37" s="14">
        <f>SUM(I38:I46)</f>
        <v>8445275.4</v>
      </c>
      <c r="J37" s="14">
        <f t="shared" si="0"/>
        <v>16070791.340000002</v>
      </c>
      <c r="K37" s="14">
        <f t="shared" si="5"/>
        <v>34.4479213960567</v>
      </c>
      <c r="L37" s="14">
        <f t="shared" si="2"/>
        <v>16070791.340000002</v>
      </c>
      <c r="M37" s="14">
        <f aca="true" t="shared" si="8" ref="M37:M48">F37/E37*100</f>
        <v>34.4479213960567</v>
      </c>
    </row>
    <row r="38" spans="1:13" ht="21.75" customHeight="1">
      <c r="A38" s="21" t="s">
        <v>74</v>
      </c>
      <c r="B38" s="16"/>
      <c r="C38" s="16" t="s">
        <v>75</v>
      </c>
      <c r="D38" s="22">
        <v>50000</v>
      </c>
      <c r="E38" s="22">
        <v>50000</v>
      </c>
      <c r="F38" s="22">
        <v>0</v>
      </c>
      <c r="G38" s="22"/>
      <c r="H38" s="22"/>
      <c r="I38" s="22">
        <v>0</v>
      </c>
      <c r="J38" s="14">
        <f t="shared" si="0"/>
        <v>50000</v>
      </c>
      <c r="K38" s="14">
        <f t="shared" si="5"/>
        <v>0</v>
      </c>
      <c r="L38" s="14">
        <f t="shared" si="2"/>
        <v>50000</v>
      </c>
      <c r="M38" s="14">
        <f t="shared" si="8"/>
        <v>0</v>
      </c>
    </row>
    <row r="39" spans="1:13" ht="18.75" customHeight="1">
      <c r="A39" s="21" t="s">
        <v>76</v>
      </c>
      <c r="B39" s="16"/>
      <c r="C39" s="16" t="s">
        <v>77</v>
      </c>
      <c r="D39" s="22">
        <v>11819.85</v>
      </c>
      <c r="E39" s="22">
        <v>11819.85</v>
      </c>
      <c r="F39" s="22">
        <v>5783.98</v>
      </c>
      <c r="G39" s="22"/>
      <c r="H39" s="22"/>
      <c r="I39" s="22">
        <v>5783.98</v>
      </c>
      <c r="J39" s="14">
        <f t="shared" si="0"/>
        <v>6035.870000000001</v>
      </c>
      <c r="K39" s="14">
        <f t="shared" si="5"/>
        <v>48.934461943256466</v>
      </c>
      <c r="L39" s="14">
        <f t="shared" si="2"/>
        <v>6035.870000000001</v>
      </c>
      <c r="M39" s="14">
        <f t="shared" si="8"/>
        <v>48.934461943256466</v>
      </c>
    </row>
    <row r="40" spans="1:13" ht="18" customHeight="1">
      <c r="A40" s="21" t="s">
        <v>76</v>
      </c>
      <c r="B40" s="16"/>
      <c r="C40" s="16" t="s">
        <v>78</v>
      </c>
      <c r="D40" s="22">
        <v>100000</v>
      </c>
      <c r="E40" s="22">
        <v>100000</v>
      </c>
      <c r="F40" s="22"/>
      <c r="G40" s="22"/>
      <c r="H40" s="22"/>
      <c r="I40" s="22"/>
      <c r="J40" s="14">
        <f t="shared" si="0"/>
        <v>100000</v>
      </c>
      <c r="K40" s="14">
        <f t="shared" si="5"/>
        <v>0</v>
      </c>
      <c r="L40" s="14">
        <f t="shared" si="2"/>
        <v>100000</v>
      </c>
      <c r="M40" s="22">
        <f t="shared" si="8"/>
        <v>0</v>
      </c>
    </row>
    <row r="41" spans="1:13" ht="18.75" customHeight="1">
      <c r="A41" s="21" t="s">
        <v>76</v>
      </c>
      <c r="B41" s="16"/>
      <c r="C41" s="16" t="s">
        <v>79</v>
      </c>
      <c r="D41" s="22">
        <v>114348.15</v>
      </c>
      <c r="E41" s="22">
        <v>114348.15</v>
      </c>
      <c r="F41" s="22">
        <f>30626.93+8163.42+13569.66+5385.12+29009.11+6585.2</f>
        <v>93339.43999999999</v>
      </c>
      <c r="G41" s="22"/>
      <c r="H41" s="22"/>
      <c r="I41" s="22">
        <f>30626.93+8163.42+13569.66+5385.12+29009.11+6585.2</f>
        <v>93339.43999999999</v>
      </c>
      <c r="J41" s="14">
        <f t="shared" si="0"/>
        <v>21008.710000000006</v>
      </c>
      <c r="K41" s="14">
        <f t="shared" si="5"/>
        <v>81.62741592233893</v>
      </c>
      <c r="L41" s="14">
        <f t="shared" si="2"/>
        <v>21008.710000000006</v>
      </c>
      <c r="M41" s="14">
        <f t="shared" si="8"/>
        <v>81.62741592233893</v>
      </c>
    </row>
    <row r="42" spans="1:13" ht="27.75" customHeight="1">
      <c r="A42" s="21" t="s">
        <v>42</v>
      </c>
      <c r="B42" s="16"/>
      <c r="C42" s="16" t="s">
        <v>80</v>
      </c>
      <c r="D42" s="22">
        <v>507598.74</v>
      </c>
      <c r="E42" s="22">
        <v>507598.74</v>
      </c>
      <c r="F42" s="22"/>
      <c r="G42" s="22"/>
      <c r="H42" s="22"/>
      <c r="I42" s="22"/>
      <c r="J42" s="14">
        <f t="shared" si="0"/>
        <v>507598.74</v>
      </c>
      <c r="K42" s="14">
        <f t="shared" si="5"/>
        <v>0</v>
      </c>
      <c r="L42" s="14">
        <f t="shared" si="2"/>
        <v>507598.74</v>
      </c>
      <c r="M42" s="22">
        <f t="shared" si="8"/>
        <v>0</v>
      </c>
    </row>
    <row r="43" spans="1:13" ht="27.75" customHeight="1">
      <c r="A43" s="21" t="s">
        <v>42</v>
      </c>
      <c r="B43" s="16"/>
      <c r="C43" s="16" t="s">
        <v>81</v>
      </c>
      <c r="D43" s="22">
        <f>18050500-1081651.34-1436979.96-4014157.29</f>
        <v>11517711.41</v>
      </c>
      <c r="E43" s="22">
        <f>18050500-1081651.34-1436979.96-4014157.29</f>
        <v>11517711.41</v>
      </c>
      <c r="F43" s="22"/>
      <c r="G43" s="22"/>
      <c r="H43" s="22"/>
      <c r="I43" s="22"/>
      <c r="J43" s="14">
        <f t="shared" si="0"/>
        <v>11517711.41</v>
      </c>
      <c r="K43" s="14">
        <f t="shared" si="5"/>
        <v>0</v>
      </c>
      <c r="L43" s="14">
        <f t="shared" si="2"/>
        <v>11517711.41</v>
      </c>
      <c r="M43" s="22">
        <f t="shared" si="8"/>
        <v>0</v>
      </c>
    </row>
    <row r="44" spans="1:13" ht="27.75" customHeight="1">
      <c r="A44" s="21" t="s">
        <v>42</v>
      </c>
      <c r="B44" s="16"/>
      <c r="C44" s="16" t="s">
        <v>82</v>
      </c>
      <c r="D44" s="22">
        <f>1081651.34+1436979.96+4014157.29</f>
        <v>6532788.59</v>
      </c>
      <c r="E44" s="22">
        <f>1081651.34+1436979.96+4014157.29</f>
        <v>6532788.59</v>
      </c>
      <c r="F44" s="22">
        <f>1081651.34+1436979.96+4014157.29</f>
        <v>6532788.59</v>
      </c>
      <c r="G44" s="22"/>
      <c r="H44" s="22"/>
      <c r="I44" s="22">
        <f>1081651.34+1436979.96+4014157.29</f>
        <v>6532788.59</v>
      </c>
      <c r="J44" s="14">
        <f t="shared" si="0"/>
        <v>0</v>
      </c>
      <c r="K44" s="14">
        <f t="shared" si="5"/>
        <v>100</v>
      </c>
      <c r="L44" s="14">
        <f t="shared" si="2"/>
        <v>0</v>
      </c>
      <c r="M44" s="22">
        <f t="shared" si="8"/>
        <v>100</v>
      </c>
    </row>
    <row r="45" spans="1:13" ht="27.75" customHeight="1">
      <c r="A45" s="21" t="s">
        <v>42</v>
      </c>
      <c r="B45" s="16"/>
      <c r="C45" s="16" t="s">
        <v>83</v>
      </c>
      <c r="D45" s="22">
        <f>5681800-3930600+3930600-452322.18-1361041.21</f>
        <v>3868436.6100000003</v>
      </c>
      <c r="E45" s="22">
        <f>5681800-3930600+3930600-452322.18-1361041.21</f>
        <v>3868436.6100000003</v>
      </c>
      <c r="F45" s="22"/>
      <c r="G45" s="22"/>
      <c r="H45" s="22"/>
      <c r="I45" s="22"/>
      <c r="J45" s="14">
        <f t="shared" si="0"/>
        <v>3868436.6100000003</v>
      </c>
      <c r="K45" s="14">
        <f t="shared" si="5"/>
        <v>0</v>
      </c>
      <c r="L45" s="14">
        <f t="shared" si="2"/>
        <v>3868436.6100000003</v>
      </c>
      <c r="M45" s="22">
        <f t="shared" si="8"/>
        <v>0</v>
      </c>
    </row>
    <row r="46" spans="1:13" ht="27.75" customHeight="1">
      <c r="A46" s="21" t="s">
        <v>42</v>
      </c>
      <c r="B46" s="16"/>
      <c r="C46" s="16" t="s">
        <v>84</v>
      </c>
      <c r="D46" s="22">
        <f>452322.18+1361041.21</f>
        <v>1813363.39</v>
      </c>
      <c r="E46" s="22">
        <f>452322.18+1361041.21</f>
        <v>1813363.39</v>
      </c>
      <c r="F46" s="22">
        <f>452322.18+1361041.21</f>
        <v>1813363.39</v>
      </c>
      <c r="G46" s="22"/>
      <c r="H46" s="22"/>
      <c r="I46" s="22">
        <f>452322.18+1361041.21</f>
        <v>1813363.39</v>
      </c>
      <c r="J46" s="14">
        <f t="shared" si="0"/>
        <v>0</v>
      </c>
      <c r="K46" s="14">
        <f t="shared" si="5"/>
        <v>100</v>
      </c>
      <c r="L46" s="14">
        <f t="shared" si="2"/>
        <v>0</v>
      </c>
      <c r="M46" s="22">
        <f t="shared" si="8"/>
        <v>100</v>
      </c>
    </row>
    <row r="47" spans="1:13" s="15" customFormat="1" ht="18.75" customHeight="1">
      <c r="A47" s="23" t="s">
        <v>85</v>
      </c>
      <c r="B47" s="13">
        <v>214</v>
      </c>
      <c r="C47" s="13" t="s">
        <v>86</v>
      </c>
      <c r="D47" s="14">
        <f>SUM(D48:D50)</f>
        <v>6227121.75</v>
      </c>
      <c r="E47" s="14">
        <f>SUM(E48:E50)</f>
        <v>6227121.75</v>
      </c>
      <c r="F47" s="14">
        <f>SUM(F48:F50)</f>
        <v>4031201.3600000003</v>
      </c>
      <c r="G47" s="14"/>
      <c r="H47" s="14"/>
      <c r="I47" s="14">
        <f>SUM(I48:I50)</f>
        <v>4031201.3600000003</v>
      </c>
      <c r="J47" s="14">
        <f t="shared" si="0"/>
        <v>2195920.3899999997</v>
      </c>
      <c r="K47" s="14">
        <f t="shared" si="5"/>
        <v>64.7361898777714</v>
      </c>
      <c r="L47" s="14">
        <f t="shared" si="2"/>
        <v>2195920.3899999997</v>
      </c>
      <c r="M47" s="14">
        <f t="shared" si="8"/>
        <v>64.7361898777714</v>
      </c>
    </row>
    <row r="48" spans="1:13" ht="41.25" customHeight="1">
      <c r="A48" s="21" t="s">
        <v>87</v>
      </c>
      <c r="B48" s="16"/>
      <c r="C48" s="16" t="s">
        <v>88</v>
      </c>
      <c r="D48" s="22">
        <v>800000</v>
      </c>
      <c r="E48" s="22">
        <v>800000</v>
      </c>
      <c r="F48" s="22">
        <f>121347.35+462214.1</f>
        <v>583561.45</v>
      </c>
      <c r="G48" s="22" t="s">
        <v>27</v>
      </c>
      <c r="H48" s="22"/>
      <c r="I48" s="22">
        <f>121347.35+462214.1</f>
        <v>583561.45</v>
      </c>
      <c r="J48" s="14">
        <f t="shared" si="0"/>
        <v>216438.55000000005</v>
      </c>
      <c r="K48" s="14">
        <f t="shared" si="5"/>
        <v>72.94518124999999</v>
      </c>
      <c r="L48" s="14">
        <f t="shared" si="2"/>
        <v>216438.55000000005</v>
      </c>
      <c r="M48" s="22">
        <f t="shared" si="8"/>
        <v>72.94518124999999</v>
      </c>
    </row>
    <row r="49" spans="1:13" ht="31.5" customHeight="1">
      <c r="A49" s="21"/>
      <c r="B49" s="16"/>
      <c r="C49" s="16" t="s">
        <v>89</v>
      </c>
      <c r="D49" s="22">
        <v>3027121.75</v>
      </c>
      <c r="E49" s="22">
        <v>3027121.75</v>
      </c>
      <c r="F49" s="22">
        <v>1604750</v>
      </c>
      <c r="G49" s="22"/>
      <c r="H49" s="22"/>
      <c r="I49" s="22">
        <v>1604750</v>
      </c>
      <c r="J49" s="14">
        <f t="shared" si="0"/>
        <v>1422371.75</v>
      </c>
      <c r="K49" s="14">
        <f t="shared" si="5"/>
        <v>53.01240361409315</v>
      </c>
      <c r="L49" s="14">
        <f t="shared" si="2"/>
        <v>1422371.75</v>
      </c>
      <c r="M49" s="22"/>
    </row>
    <row r="50" spans="1:13" ht="31.5" customHeight="1">
      <c r="A50" s="21"/>
      <c r="B50" s="16"/>
      <c r="C50" s="16" t="s">
        <v>90</v>
      </c>
      <c r="D50" s="22">
        <f>1200000+1200000</f>
        <v>2400000</v>
      </c>
      <c r="E50" s="22">
        <v>2400000</v>
      </c>
      <c r="F50" s="22">
        <f>206913.18+928037.82+707938.91</f>
        <v>1842889.9100000001</v>
      </c>
      <c r="G50" s="22"/>
      <c r="H50" s="22"/>
      <c r="I50" s="22">
        <f>206913.18+928037.82+707938.91</f>
        <v>1842889.9100000001</v>
      </c>
      <c r="J50" s="14">
        <f t="shared" si="0"/>
        <v>557110.0899999999</v>
      </c>
      <c r="K50" s="14">
        <f t="shared" si="5"/>
        <v>76.78707958333334</v>
      </c>
      <c r="L50" s="14">
        <f t="shared" si="2"/>
        <v>557110.0899999999</v>
      </c>
      <c r="M50" s="22"/>
    </row>
    <row r="51" spans="1:13" s="15" customFormat="1" ht="24" customHeight="1">
      <c r="A51" s="23" t="s">
        <v>91</v>
      </c>
      <c r="B51" s="13">
        <v>215</v>
      </c>
      <c r="C51" s="13" t="s">
        <v>92</v>
      </c>
      <c r="D51" s="14">
        <f>SUM(D52:D63)</f>
        <v>9701530.54</v>
      </c>
      <c r="E51" s="14">
        <f>SUM(E52:E63)</f>
        <v>9701530.54</v>
      </c>
      <c r="F51" s="14">
        <f>SUM(F52:F63)</f>
        <v>9172810.31</v>
      </c>
      <c r="G51" s="14"/>
      <c r="H51" s="14"/>
      <c r="I51" s="14">
        <f>SUM(I52:I63)</f>
        <v>9172810.31</v>
      </c>
      <c r="J51" s="14">
        <f t="shared" si="0"/>
        <v>528720.2299999986</v>
      </c>
      <c r="K51" s="14">
        <f t="shared" si="5"/>
        <v>94.55013590051536</v>
      </c>
      <c r="L51" s="14">
        <f t="shared" si="2"/>
        <v>528720.2299999986</v>
      </c>
      <c r="M51" s="14">
        <f aca="true" t="shared" si="9" ref="M51:M58">F51/E51*100</f>
        <v>94.55013590051536</v>
      </c>
    </row>
    <row r="52" spans="1:13" ht="28.5" customHeight="1">
      <c r="A52" s="21" t="s">
        <v>93</v>
      </c>
      <c r="B52" s="16"/>
      <c r="C52" s="16" t="s">
        <v>94</v>
      </c>
      <c r="D52" s="22">
        <f>1800000+71747.5</f>
        <v>1871747.5</v>
      </c>
      <c r="E52" s="22">
        <f>1800000+71747.5</f>
        <v>1871747.5</v>
      </c>
      <c r="F52" s="22">
        <f>686827.99+167530.83+111192.27+122917.24+81539.9+241327.54+188123.76+272287.97</f>
        <v>1871747.5</v>
      </c>
      <c r="G52" s="22" t="s">
        <v>27</v>
      </c>
      <c r="H52" s="22"/>
      <c r="I52" s="22">
        <f>686827.99+167530.83+111192.27+122917.24+81539.9+241327.54+188123.76+272287.97</f>
        <v>1871747.5</v>
      </c>
      <c r="J52" s="14">
        <f t="shared" si="0"/>
        <v>0</v>
      </c>
      <c r="K52" s="14">
        <f t="shared" si="5"/>
        <v>100</v>
      </c>
      <c r="L52" s="14">
        <f t="shared" si="2"/>
        <v>0</v>
      </c>
      <c r="M52" s="22">
        <f t="shared" si="9"/>
        <v>100</v>
      </c>
    </row>
    <row r="53" spans="1:13" ht="24.75" customHeight="1">
      <c r="A53" s="21" t="s">
        <v>76</v>
      </c>
      <c r="B53" s="16"/>
      <c r="C53" s="16" t="s">
        <v>95</v>
      </c>
      <c r="D53" s="22">
        <f>2500000-7835.53-260000-557950.73</f>
        <v>1674213.7400000002</v>
      </c>
      <c r="E53" s="22">
        <f>2232164.47-557950.73</f>
        <v>1674213.7400000002</v>
      </c>
      <c r="F53" s="22">
        <f>18865.26+20578.26+342467.21+41156.52+41156.52+578332+41156.52+316086.08</f>
        <v>1399798.37</v>
      </c>
      <c r="G53" s="22"/>
      <c r="H53" s="22"/>
      <c r="I53" s="22">
        <f>18865.26+20578.26+342467.21+41156.52+41156.52+578332+41156.52+316086.08</f>
        <v>1399798.37</v>
      </c>
      <c r="J53" s="14">
        <f t="shared" si="0"/>
        <v>274415.3700000001</v>
      </c>
      <c r="K53" s="14">
        <f t="shared" si="5"/>
        <v>83.60929889393931</v>
      </c>
      <c r="L53" s="14">
        <f t="shared" si="2"/>
        <v>274415.3700000001</v>
      </c>
      <c r="M53" s="22">
        <f t="shared" si="9"/>
        <v>83.60929889393931</v>
      </c>
    </row>
    <row r="54" spans="1:13" ht="24.75" customHeight="1">
      <c r="A54" s="21" t="s">
        <v>76</v>
      </c>
      <c r="B54" s="16"/>
      <c r="C54" s="16" t="s">
        <v>96</v>
      </c>
      <c r="D54" s="22">
        <f>7835.53+5140.78+1948.22</f>
        <v>14924.529999999999</v>
      </c>
      <c r="E54" s="22">
        <f>7835.53+5140.78+1948.22</f>
        <v>14924.529999999999</v>
      </c>
      <c r="F54" s="22">
        <f>7835.53+5140.78+1948.22</f>
        <v>14924.529999999999</v>
      </c>
      <c r="G54" s="22"/>
      <c r="H54" s="22"/>
      <c r="I54" s="22">
        <f>7835.53+5140.78+1948.22</f>
        <v>14924.529999999999</v>
      </c>
      <c r="J54" s="14">
        <f t="shared" si="0"/>
        <v>0</v>
      </c>
      <c r="K54" s="14">
        <f t="shared" si="5"/>
        <v>100</v>
      </c>
      <c r="L54" s="14">
        <f t="shared" si="2"/>
        <v>0</v>
      </c>
      <c r="M54" s="22">
        <f t="shared" si="9"/>
        <v>100</v>
      </c>
    </row>
    <row r="55" spans="1:13" ht="24" customHeight="1">
      <c r="A55" s="21" t="s">
        <v>42</v>
      </c>
      <c r="B55" s="16"/>
      <c r="C55" s="16" t="s">
        <v>97</v>
      </c>
      <c r="D55" s="22">
        <v>30000</v>
      </c>
      <c r="E55" s="22">
        <v>30000</v>
      </c>
      <c r="F55" s="22">
        <v>13000</v>
      </c>
      <c r="G55" s="22"/>
      <c r="H55" s="22"/>
      <c r="I55" s="22">
        <v>13000</v>
      </c>
      <c r="J55" s="14">
        <f t="shared" si="0"/>
        <v>17000</v>
      </c>
      <c r="K55" s="14">
        <f t="shared" si="5"/>
        <v>43.333333333333336</v>
      </c>
      <c r="L55" s="14">
        <f t="shared" si="2"/>
        <v>17000</v>
      </c>
      <c r="M55" s="14">
        <f t="shared" si="9"/>
        <v>43.333333333333336</v>
      </c>
    </row>
    <row r="56" spans="1:13" ht="28.5" customHeight="1">
      <c r="A56" s="21" t="s">
        <v>76</v>
      </c>
      <c r="B56" s="16"/>
      <c r="C56" s="16" t="s">
        <v>98</v>
      </c>
      <c r="D56" s="22">
        <f>400000-390000+58700</f>
        <v>68700</v>
      </c>
      <c r="E56" s="22">
        <f>200000-190000+58700</f>
        <v>68700</v>
      </c>
      <c r="F56" s="22">
        <f>2700+66000</f>
        <v>68700</v>
      </c>
      <c r="G56" s="22" t="s">
        <v>27</v>
      </c>
      <c r="H56" s="22"/>
      <c r="I56" s="22">
        <f>2700+66000</f>
        <v>68700</v>
      </c>
      <c r="J56" s="14">
        <f t="shared" si="0"/>
        <v>0</v>
      </c>
      <c r="K56" s="14">
        <f t="shared" si="5"/>
        <v>100</v>
      </c>
      <c r="L56" s="14">
        <f t="shared" si="2"/>
        <v>0</v>
      </c>
      <c r="M56" s="22">
        <f t="shared" si="9"/>
        <v>100</v>
      </c>
    </row>
    <row r="57" spans="1:13" ht="24" customHeight="1">
      <c r="A57" s="21" t="s">
        <v>99</v>
      </c>
      <c r="B57" s="16"/>
      <c r="C57" s="16" t="s">
        <v>100</v>
      </c>
      <c r="D57" s="22">
        <f>400000-250000+41170+84500+79400</f>
        <v>355070</v>
      </c>
      <c r="E57" s="22">
        <f>200000-50000+41170+84500+79400</f>
        <v>355070</v>
      </c>
      <c r="F57" s="22">
        <f>191170+84500+79400</f>
        <v>355070</v>
      </c>
      <c r="G57" s="22"/>
      <c r="H57" s="22"/>
      <c r="I57" s="22">
        <f>191170+84500+79400</f>
        <v>355070</v>
      </c>
      <c r="J57" s="14">
        <f t="shared" si="0"/>
        <v>0</v>
      </c>
      <c r="K57" s="14">
        <f t="shared" si="5"/>
        <v>100</v>
      </c>
      <c r="L57" s="14">
        <f t="shared" si="2"/>
        <v>0</v>
      </c>
      <c r="M57" s="22">
        <f t="shared" si="9"/>
        <v>100</v>
      </c>
    </row>
    <row r="58" spans="1:13" ht="24" customHeight="1">
      <c r="A58" s="21" t="s">
        <v>42</v>
      </c>
      <c r="B58" s="16"/>
      <c r="C58" s="16" t="s">
        <v>101</v>
      </c>
      <c r="D58" s="22">
        <f>350000-300000+114760</f>
        <v>164760</v>
      </c>
      <c r="E58" s="22">
        <f>350000-300000+114760</f>
        <v>164760</v>
      </c>
      <c r="F58" s="22">
        <f>35760+129000</f>
        <v>164760</v>
      </c>
      <c r="G58" s="22"/>
      <c r="H58" s="22"/>
      <c r="I58" s="22">
        <f>35760+129000</f>
        <v>164760</v>
      </c>
      <c r="J58" s="14">
        <f t="shared" si="0"/>
        <v>0</v>
      </c>
      <c r="K58" s="14">
        <f t="shared" si="5"/>
        <v>100</v>
      </c>
      <c r="L58" s="14">
        <f t="shared" si="2"/>
        <v>0</v>
      </c>
      <c r="M58" s="14">
        <f t="shared" si="9"/>
        <v>100</v>
      </c>
    </row>
    <row r="59" spans="1:13" ht="24.75" customHeight="1">
      <c r="A59" s="21" t="s">
        <v>39</v>
      </c>
      <c r="B59" s="16"/>
      <c r="C59" s="16" t="s">
        <v>102</v>
      </c>
      <c r="D59" s="22">
        <f>8000-52.4-3023.23-1734</f>
        <v>3190.370000000001</v>
      </c>
      <c r="E59" s="22">
        <f>8000-52.4-3023.23-1734</f>
        <v>3190.370000000001</v>
      </c>
      <c r="F59" s="22"/>
      <c r="G59" s="22"/>
      <c r="H59" s="22"/>
      <c r="I59" s="22"/>
      <c r="J59" s="14">
        <f t="shared" si="0"/>
        <v>3190.370000000001</v>
      </c>
      <c r="K59" s="14">
        <f t="shared" si="5"/>
        <v>0</v>
      </c>
      <c r="L59" s="14">
        <f t="shared" si="2"/>
        <v>3190.370000000001</v>
      </c>
      <c r="M59" s="14" t="s">
        <v>103</v>
      </c>
    </row>
    <row r="60" spans="1:13" ht="24.75" customHeight="1">
      <c r="A60" s="21" t="s">
        <v>104</v>
      </c>
      <c r="B60" s="16"/>
      <c r="C60" s="16" t="s">
        <v>105</v>
      </c>
      <c r="D60" s="22">
        <f>52.4+92.23+744.93</f>
        <v>889.56</v>
      </c>
      <c r="E60" s="22">
        <f>52.4+92.23+744.93</f>
        <v>889.56</v>
      </c>
      <c r="F60" s="22">
        <f>52.4+92.23+744.93</f>
        <v>889.56</v>
      </c>
      <c r="G60" s="22"/>
      <c r="H60" s="22"/>
      <c r="I60" s="22">
        <f>52.4+92.23+744.93</f>
        <v>889.56</v>
      </c>
      <c r="J60" s="14">
        <f t="shared" si="0"/>
        <v>0</v>
      </c>
      <c r="K60" s="14">
        <f t="shared" si="5"/>
        <v>100</v>
      </c>
      <c r="L60" s="14">
        <f t="shared" si="2"/>
        <v>0</v>
      </c>
      <c r="M60" s="14">
        <f aca="true" t="shared" si="10" ref="M60:M62">F60/E60*100</f>
        <v>100</v>
      </c>
    </row>
    <row r="61" spans="1:13" ht="24" customHeight="1">
      <c r="A61" s="21" t="s">
        <v>56</v>
      </c>
      <c r="B61" s="16"/>
      <c r="C61" s="16" t="s">
        <v>106</v>
      </c>
      <c r="D61" s="22">
        <f>3222000-150000-31155-41170-86375-74298.42+964716.13+264165.13+769385.14+606277.86</f>
        <v>5443545.84</v>
      </c>
      <c r="E61" s="22">
        <f>3803717.71+264165.13+769385.14+606277.86</f>
        <v>5443545.84</v>
      </c>
      <c r="F61" s="22">
        <f>1169314.07+207207.23+98833.26+99041.89+461899.04+742585.08+849745.3+409540.94+799101.17+372163.37</f>
        <v>5209431.350000001</v>
      </c>
      <c r="G61" s="22"/>
      <c r="H61" s="22"/>
      <c r="I61" s="22">
        <f>1169314.07+207207.23+98833.26+99041.89+461899.04+742585.08+849745.3+409540.94+799101.17+372163.37</f>
        <v>5209431.350000001</v>
      </c>
      <c r="J61" s="14">
        <f t="shared" si="0"/>
        <v>234114.4899999993</v>
      </c>
      <c r="K61" s="14">
        <f t="shared" si="5"/>
        <v>95.69922809725068</v>
      </c>
      <c r="L61" s="14">
        <f t="shared" si="2"/>
        <v>234114.4899999993</v>
      </c>
      <c r="M61" s="22">
        <f t="shared" si="10"/>
        <v>95.69922809725068</v>
      </c>
    </row>
    <row r="62" spans="1:13" ht="24" customHeight="1">
      <c r="A62" s="21" t="s">
        <v>56</v>
      </c>
      <c r="B62" s="16"/>
      <c r="C62" s="16" t="s">
        <v>107</v>
      </c>
      <c r="D62" s="22">
        <f>31155+1875+4375+29700</f>
        <v>67105</v>
      </c>
      <c r="E62" s="22">
        <f>31155+1875+4375+29700</f>
        <v>67105</v>
      </c>
      <c r="F62" s="22">
        <f>9630+21525+1875+4375+29700</f>
        <v>67105</v>
      </c>
      <c r="G62" s="22"/>
      <c r="H62" s="22"/>
      <c r="I62" s="22">
        <f>9630+21525+1875+4375+29700</f>
        <v>67105</v>
      </c>
      <c r="J62" s="14">
        <f t="shared" si="0"/>
        <v>0</v>
      </c>
      <c r="K62" s="14">
        <f t="shared" si="5"/>
        <v>100</v>
      </c>
      <c r="L62" s="14">
        <f t="shared" si="2"/>
        <v>0</v>
      </c>
      <c r="M62" s="22">
        <f t="shared" si="10"/>
        <v>100</v>
      </c>
    </row>
    <row r="63" spans="1:13" ht="24.75" customHeight="1">
      <c r="A63" s="21" t="s">
        <v>39</v>
      </c>
      <c r="B63" s="16"/>
      <c r="C63" s="16" t="s">
        <v>108</v>
      </c>
      <c r="D63" s="22">
        <f>2931+1734+2719</f>
        <v>7384</v>
      </c>
      <c r="E63" s="22">
        <f>2931+1734+2719</f>
        <v>7384</v>
      </c>
      <c r="F63" s="22">
        <f>2931+1734+2719</f>
        <v>7384</v>
      </c>
      <c r="G63" s="22"/>
      <c r="H63" s="22"/>
      <c r="I63" s="22">
        <f>2931+1734+2719</f>
        <v>7384</v>
      </c>
      <c r="J63" s="14">
        <f t="shared" si="0"/>
        <v>0</v>
      </c>
      <c r="K63" s="14">
        <f t="shared" si="5"/>
        <v>100</v>
      </c>
      <c r="L63" s="14">
        <f t="shared" si="2"/>
        <v>0</v>
      </c>
      <c r="M63" s="14" t="s">
        <v>103</v>
      </c>
    </row>
    <row r="64" spans="1:13" s="15" customFormat="1" ht="12.75" customHeight="1">
      <c r="A64" s="23" t="s">
        <v>109</v>
      </c>
      <c r="B64" s="13">
        <v>216</v>
      </c>
      <c r="C64" s="13" t="s">
        <v>110</v>
      </c>
      <c r="D64" s="14">
        <f>SUM(D65:D81)</f>
        <v>10363015.809999999</v>
      </c>
      <c r="E64" s="14">
        <f>SUM(E65:E81)</f>
        <v>10363015.809999999</v>
      </c>
      <c r="F64" s="14">
        <f>SUM(F65:F81)</f>
        <v>10100567.879999999</v>
      </c>
      <c r="G64" s="14"/>
      <c r="H64" s="14"/>
      <c r="I64" s="14">
        <f>SUM(I65:I81)</f>
        <v>10100567.879999999</v>
      </c>
      <c r="J64" s="14">
        <f t="shared" si="0"/>
        <v>262447.9299999997</v>
      </c>
      <c r="K64" s="14">
        <f t="shared" si="5"/>
        <v>97.46745604936021</v>
      </c>
      <c r="L64" s="14">
        <f t="shared" si="2"/>
        <v>262447.9299999997</v>
      </c>
      <c r="M64" s="14">
        <f aca="true" t="shared" si="11" ref="M64:M66">F64/E64*100</f>
        <v>97.46745604936021</v>
      </c>
    </row>
    <row r="65" spans="1:13" ht="16.5" customHeight="1">
      <c r="A65" s="21" t="s">
        <v>31</v>
      </c>
      <c r="B65" s="16"/>
      <c r="C65" s="16" t="s">
        <v>111</v>
      </c>
      <c r="D65" s="22">
        <f>4530000+1293602.93</f>
        <v>5823602.93</v>
      </c>
      <c r="E65" s="22">
        <f>4530000+1293602.93</f>
        <v>5823602.93</v>
      </c>
      <c r="F65" s="22">
        <f>747908.08+417223.82+672367.41+201143+398704.1+584549.73+509544.2+423484.45+411813.78+421059.09+930716.11</f>
        <v>5718513.7700000005</v>
      </c>
      <c r="G65" s="22" t="s">
        <v>27</v>
      </c>
      <c r="H65" s="22" t="s">
        <v>27</v>
      </c>
      <c r="I65" s="22">
        <f>747908.08+417223.82+672367.41+201143+398704.1+584549.73+509544.2+423484.45+411813.78+421059.09+930716.11</f>
        <v>5718513.7700000005</v>
      </c>
      <c r="J65" s="14">
        <f t="shared" si="0"/>
        <v>105089.15999999922</v>
      </c>
      <c r="K65" s="14">
        <f t="shared" si="5"/>
        <v>98.19546144778111</v>
      </c>
      <c r="L65" s="14">
        <f t="shared" si="2"/>
        <v>105089.15999999922</v>
      </c>
      <c r="M65" s="22">
        <f t="shared" si="11"/>
        <v>98.19546144778111</v>
      </c>
    </row>
    <row r="66" spans="1:13" ht="27" customHeight="1">
      <c r="A66" s="21" t="s">
        <v>33</v>
      </c>
      <c r="B66" s="16"/>
      <c r="C66" s="16" t="s">
        <v>112</v>
      </c>
      <c r="D66" s="22">
        <f>1368060+217384.88+9402.01</f>
        <v>1594846.89</v>
      </c>
      <c r="E66" s="22">
        <f>1368060+217384.88+9402.01</f>
        <v>1594846.89</v>
      </c>
      <c r="F66" s="22">
        <f>265901.1+5426.64+261296.41+135466.92+113528.29+9984.3+281414.87+130169.46+116661.13+119065.17+155932.6</f>
        <v>1594846.8900000001</v>
      </c>
      <c r="G66" s="22" t="s">
        <v>27</v>
      </c>
      <c r="H66" s="22" t="s">
        <v>27</v>
      </c>
      <c r="I66" s="22">
        <f>265901.1+5426.64+261296.41+135466.92+113528.29+9984.3+281414.87+130169.46+116661.13+119065.17+155932.6</f>
        <v>1594846.8900000001</v>
      </c>
      <c r="J66" s="14">
        <f t="shared" si="0"/>
        <v>0</v>
      </c>
      <c r="K66" s="14">
        <f t="shared" si="5"/>
        <v>100.00000000000003</v>
      </c>
      <c r="L66" s="14">
        <f t="shared" si="2"/>
        <v>0</v>
      </c>
      <c r="M66" s="22">
        <f t="shared" si="11"/>
        <v>100.00000000000003</v>
      </c>
    </row>
    <row r="67" spans="1:13" ht="27" customHeight="1">
      <c r="A67" s="21"/>
      <c r="B67" s="16"/>
      <c r="C67" s="16" t="s">
        <v>113</v>
      </c>
      <c r="D67" s="22">
        <v>425</v>
      </c>
      <c r="E67" s="22">
        <v>425</v>
      </c>
      <c r="F67" s="22">
        <v>425</v>
      </c>
      <c r="G67" s="22"/>
      <c r="H67" s="22"/>
      <c r="I67" s="22">
        <v>425</v>
      </c>
      <c r="J67" s="14"/>
      <c r="K67" s="14"/>
      <c r="L67" s="14"/>
      <c r="M67" s="22"/>
    </row>
    <row r="68" spans="1:13" ht="15" customHeight="1">
      <c r="A68" s="21" t="s">
        <v>37</v>
      </c>
      <c r="B68" s="16"/>
      <c r="C68" s="16" t="s">
        <v>114</v>
      </c>
      <c r="D68" s="22">
        <f>72100+7005.74</f>
        <v>79105.74</v>
      </c>
      <c r="E68" s="22">
        <f>72100+7005.74</f>
        <v>79105.74</v>
      </c>
      <c r="F68" s="22">
        <f>7729.18+452+6456.15+14403.52+5862.53+6669.52+6259.28+11349.66+2982+10941.9+5571.41</f>
        <v>78677.15</v>
      </c>
      <c r="G68" s="22" t="s">
        <v>27</v>
      </c>
      <c r="H68" s="22" t="s">
        <v>27</v>
      </c>
      <c r="I68" s="22">
        <f>7729.18+452+6456.15+14403.52+5862.53+6669.52+6259.28+11349.66+2982+10941.9+5571.41</f>
        <v>78677.15</v>
      </c>
      <c r="J68" s="14">
        <f aca="true" t="shared" si="12" ref="J68:J120">D68-F68</f>
        <v>428.59000000001106</v>
      </c>
      <c r="K68" s="14">
        <f aca="true" t="shared" si="13" ref="K68:K99">F68/D68*100</f>
        <v>99.45820619338114</v>
      </c>
      <c r="L68" s="14">
        <f aca="true" t="shared" si="14" ref="L68:L99">E68-F68</f>
        <v>428.59000000001106</v>
      </c>
      <c r="M68" s="22">
        <f aca="true" t="shared" si="15" ref="M68:M70">F68/E68*100</f>
        <v>99.45820619338114</v>
      </c>
    </row>
    <row r="69" spans="1:13" ht="24.75" customHeight="1">
      <c r="A69" s="21" t="s">
        <v>93</v>
      </c>
      <c r="B69" s="16"/>
      <c r="C69" s="16" t="s">
        <v>115</v>
      </c>
      <c r="D69" s="22">
        <v>236697</v>
      </c>
      <c r="E69" s="22">
        <v>236697</v>
      </c>
      <c r="F69" s="22">
        <f>25690.7+33522.31+49552.07+16855.59+8790.11+5483.79+16115.02+26451.69</f>
        <v>182461.27999999997</v>
      </c>
      <c r="G69" s="26"/>
      <c r="H69" s="22"/>
      <c r="I69" s="22">
        <f>25690.7+33522.31+49552.07+16855.59+8790.11+5483.79+16115.02+26451.69</f>
        <v>182461.27999999997</v>
      </c>
      <c r="J69" s="14">
        <f t="shared" si="12"/>
        <v>54235.72000000003</v>
      </c>
      <c r="K69" s="14">
        <f t="shared" si="13"/>
        <v>77.08643540053316</v>
      </c>
      <c r="L69" s="14">
        <f t="shared" si="14"/>
        <v>54235.72000000003</v>
      </c>
      <c r="M69" s="22">
        <f t="shared" si="15"/>
        <v>77.08643540053316</v>
      </c>
    </row>
    <row r="70" spans="1:13" ht="24.75" customHeight="1">
      <c r="A70" s="21" t="s">
        <v>93</v>
      </c>
      <c r="B70" s="16"/>
      <c r="C70" s="16" t="s">
        <v>116</v>
      </c>
      <c r="D70" s="22">
        <v>237000</v>
      </c>
      <c r="E70" s="22">
        <v>237000</v>
      </c>
      <c r="F70" s="22">
        <f>26290.4+50263.33+20745.7+22952.01+26285.51+11443.2+15855.65+17259.35+26051.41</f>
        <v>217146.56000000003</v>
      </c>
      <c r="G70" s="26" t="s">
        <v>27</v>
      </c>
      <c r="H70" s="22" t="s">
        <v>27</v>
      </c>
      <c r="I70" s="22">
        <f>26290.4+50263.33+20745.7+22952.01+26285.51+11443.2+15855.65+17259.35+26051.41</f>
        <v>217146.56000000003</v>
      </c>
      <c r="J70" s="14">
        <f t="shared" si="12"/>
        <v>19853.439999999973</v>
      </c>
      <c r="K70" s="14">
        <f t="shared" si="13"/>
        <v>91.62302109704642</v>
      </c>
      <c r="L70" s="14">
        <f t="shared" si="14"/>
        <v>19853.439999999973</v>
      </c>
      <c r="M70" s="22">
        <f t="shared" si="15"/>
        <v>91.62302109704642</v>
      </c>
    </row>
    <row r="71" spans="1:13" ht="27" customHeight="1">
      <c r="A71" s="21" t="s">
        <v>93</v>
      </c>
      <c r="B71" s="16"/>
      <c r="C71" s="16" t="s">
        <v>117</v>
      </c>
      <c r="D71" s="22">
        <v>12000</v>
      </c>
      <c r="E71" s="22">
        <v>12000</v>
      </c>
      <c r="F71" s="22">
        <f>491.85+491.85+655.8+874.4+2158.68+1038.35+2787.15+874.4+1038.35</f>
        <v>10410.83</v>
      </c>
      <c r="G71" s="26"/>
      <c r="H71" s="22"/>
      <c r="I71" s="22">
        <f>491.85+491.85+655.8+874.4+2158.68+1038.35+2787.15+874.4+1038.35</f>
        <v>10410.83</v>
      </c>
      <c r="J71" s="14">
        <f t="shared" si="12"/>
        <v>1589.17</v>
      </c>
      <c r="K71" s="14">
        <f t="shared" si="13"/>
        <v>86.75691666666665</v>
      </c>
      <c r="L71" s="14">
        <f t="shared" si="14"/>
        <v>1589.17</v>
      </c>
      <c r="M71" s="22">
        <f>F71/D71*100</f>
        <v>86.75691666666665</v>
      </c>
    </row>
    <row r="72" spans="1:13" ht="29.25" customHeight="1">
      <c r="A72" s="21" t="s">
        <v>118</v>
      </c>
      <c r="B72" s="16"/>
      <c r="C72" s="16" t="s">
        <v>119</v>
      </c>
      <c r="D72" s="22">
        <f>250000+63158+10806+125214+247010+75746+63846+81516.6</f>
        <v>917296.6</v>
      </c>
      <c r="E72" s="22">
        <f>62500+250658+10806+125214+247010+75746+63846+81516.6</f>
        <v>917296.6</v>
      </c>
      <c r="F72" s="22">
        <f>3343+309815+10806+125214+163018+18627.6+25664.4+115446+28846+116516.6</f>
        <v>917296.6</v>
      </c>
      <c r="G72" s="22"/>
      <c r="H72" s="22"/>
      <c r="I72" s="22">
        <f>3343+309815+10806+125214+163018+18627.6+25664.4+115446+28846+116516.6</f>
        <v>917296.6</v>
      </c>
      <c r="J72" s="14">
        <f t="shared" si="12"/>
        <v>0</v>
      </c>
      <c r="K72" s="14">
        <f t="shared" si="13"/>
        <v>100</v>
      </c>
      <c r="L72" s="14">
        <f t="shared" si="14"/>
        <v>0</v>
      </c>
      <c r="M72" s="14">
        <f>F72/E72*100</f>
        <v>100</v>
      </c>
    </row>
    <row r="73" spans="1:13" ht="28.5" customHeight="1">
      <c r="A73" s="21" t="s">
        <v>56</v>
      </c>
      <c r="B73" s="16"/>
      <c r="C73" s="16" t="s">
        <v>120</v>
      </c>
      <c r="D73" s="22">
        <f>500000-10806-125214+104000-75746+20000+4152.7</f>
        <v>416386.7</v>
      </c>
      <c r="E73" s="22">
        <f>467980-75746+20000+4152.7</f>
        <v>416386.7</v>
      </c>
      <c r="F73" s="22">
        <f>40390+61007+2132+9811+67895+12740.63+25029+33553.01+30575+47391.2+56238.32+29624.54</f>
        <v>416386.7</v>
      </c>
      <c r="G73" s="22" t="s">
        <v>27</v>
      </c>
      <c r="H73" s="22" t="s">
        <v>27</v>
      </c>
      <c r="I73" s="22">
        <f>40390+61007+2132+9811+67895+12740.63+25029+33553.01+30575+47391.2+56238.32+29624.54</f>
        <v>416386.7</v>
      </c>
      <c r="J73" s="14">
        <f t="shared" si="12"/>
        <v>0</v>
      </c>
      <c r="K73" s="14">
        <f t="shared" si="13"/>
        <v>100</v>
      </c>
      <c r="L73" s="14">
        <f t="shared" si="14"/>
        <v>0</v>
      </c>
      <c r="M73" s="22">
        <f>F73/D73*100</f>
        <v>100</v>
      </c>
    </row>
    <row r="74" spans="1:13" ht="31.5" customHeight="1">
      <c r="A74" s="21" t="s">
        <v>35</v>
      </c>
      <c r="B74" s="16"/>
      <c r="C74" s="16" t="s">
        <v>121</v>
      </c>
      <c r="D74" s="22">
        <f>100000-425+86200-1544.25-6656.27+21061.73+4200.52+15480</f>
        <v>218316.73</v>
      </c>
      <c r="E74" s="22">
        <f>198636.21+4200.52+15480</f>
        <v>218316.72999999998</v>
      </c>
      <c r="F74" s="22">
        <f>26675+26034.25+5741+70856.4+52530.08+4000+32480</f>
        <v>218316.72999999998</v>
      </c>
      <c r="G74" s="22" t="s">
        <v>27</v>
      </c>
      <c r="H74" s="22" t="s">
        <v>27</v>
      </c>
      <c r="I74" s="22">
        <f>26675+26034.25+5741+70856.4+52530.08+4000+32480</f>
        <v>218316.72999999998</v>
      </c>
      <c r="J74" s="14">
        <f t="shared" si="12"/>
        <v>0</v>
      </c>
      <c r="K74" s="14">
        <f t="shared" si="13"/>
        <v>99.99999999999999</v>
      </c>
      <c r="L74" s="14">
        <f t="shared" si="14"/>
        <v>0</v>
      </c>
      <c r="M74" s="22">
        <v>100</v>
      </c>
    </row>
    <row r="75" spans="1:13" ht="32.25" customHeight="1">
      <c r="A75" s="21" t="s">
        <v>35</v>
      </c>
      <c r="B75" s="16"/>
      <c r="C75" s="16" t="s">
        <v>122</v>
      </c>
      <c r="D75" s="22">
        <f>5000+20503</f>
        <v>25503</v>
      </c>
      <c r="E75" s="22">
        <f>5000+20503</f>
        <v>25503</v>
      </c>
      <c r="F75" s="22">
        <f>3503+22000</f>
        <v>25503</v>
      </c>
      <c r="G75" s="22" t="s">
        <v>27</v>
      </c>
      <c r="H75" s="22" t="s">
        <v>27</v>
      </c>
      <c r="I75" s="22">
        <f>3503+22000</f>
        <v>25503</v>
      </c>
      <c r="J75" s="14">
        <f t="shared" si="12"/>
        <v>0</v>
      </c>
      <c r="K75" s="14">
        <f t="shared" si="13"/>
        <v>100</v>
      </c>
      <c r="L75" s="14">
        <f t="shared" si="14"/>
        <v>0</v>
      </c>
      <c r="M75" s="22">
        <f aca="true" t="shared" si="16" ref="M75:M87">F75/E75*100</f>
        <v>100</v>
      </c>
    </row>
    <row r="76" spans="1:13" ht="32.25" customHeight="1">
      <c r="A76" s="21" t="s">
        <v>35</v>
      </c>
      <c r="B76" s="16"/>
      <c r="C76" s="16" t="s">
        <v>123</v>
      </c>
      <c r="D76" s="22">
        <f>17000+16899+18000</f>
        <v>51899</v>
      </c>
      <c r="E76" s="22">
        <f>8000+25899+18000</f>
        <v>51899</v>
      </c>
      <c r="F76" s="22">
        <f>749+33150+12522+4793</f>
        <v>51214</v>
      </c>
      <c r="G76" s="22" t="s">
        <v>27</v>
      </c>
      <c r="H76" s="22" t="s">
        <v>27</v>
      </c>
      <c r="I76" s="22">
        <f>749+33150+12522+4793</f>
        <v>51214</v>
      </c>
      <c r="J76" s="14">
        <f t="shared" si="12"/>
        <v>685</v>
      </c>
      <c r="K76" s="14">
        <f t="shared" si="13"/>
        <v>98.68012871153586</v>
      </c>
      <c r="L76" s="14">
        <f t="shared" si="14"/>
        <v>685</v>
      </c>
      <c r="M76" s="22">
        <f t="shared" si="16"/>
        <v>98.68012871153586</v>
      </c>
    </row>
    <row r="77" spans="1:13" ht="32.25" customHeight="1">
      <c r="A77" s="21" t="s">
        <v>124</v>
      </c>
      <c r="B77" s="16"/>
      <c r="C77" s="16" t="s">
        <v>125</v>
      </c>
      <c r="D77" s="22">
        <f>20.68+2.32+34.83+2.87</f>
        <v>60.699999999999996</v>
      </c>
      <c r="E77" s="22">
        <f>20.68+2.32+34.83+2.87</f>
        <v>60.699999999999996</v>
      </c>
      <c r="F77" s="22">
        <f>20.68+2.32+14.15+23.55</f>
        <v>60.7</v>
      </c>
      <c r="G77" s="22" t="s">
        <v>27</v>
      </c>
      <c r="H77" s="22" t="s">
        <v>27</v>
      </c>
      <c r="I77" s="22">
        <f>20.68+2.32+14.15+23.55</f>
        <v>60.7</v>
      </c>
      <c r="J77" s="14">
        <f t="shared" si="12"/>
        <v>0</v>
      </c>
      <c r="K77" s="14">
        <f t="shared" si="13"/>
        <v>100.00000000000003</v>
      </c>
      <c r="L77" s="14">
        <f t="shared" si="14"/>
        <v>0</v>
      </c>
      <c r="M77" s="22">
        <f t="shared" si="16"/>
        <v>100.00000000000003</v>
      </c>
    </row>
    <row r="78" spans="1:13" ht="27" customHeight="1">
      <c r="A78" s="21" t="s">
        <v>35</v>
      </c>
      <c r="B78" s="16"/>
      <c r="C78" s="16" t="s">
        <v>126</v>
      </c>
      <c r="D78" s="26">
        <f>1000-20.68+1541.93+6656.27+1734.18+1028.18</f>
        <v>11939.880000000001</v>
      </c>
      <c r="E78" s="26">
        <f>9177.52+1734.18+1028.18</f>
        <v>11939.880000000001</v>
      </c>
      <c r="F78" s="22">
        <f>82.33+333.96+52.84+1802.12+6656.27+1984.18+1028.18</f>
        <v>11939.880000000001</v>
      </c>
      <c r="G78" s="26"/>
      <c r="H78" s="22"/>
      <c r="I78" s="22">
        <f>82.33+333.96+52.84+1802.12+6656.27+1984.18+1028.18</f>
        <v>11939.880000000001</v>
      </c>
      <c r="J78" s="14">
        <f t="shared" si="12"/>
        <v>0</v>
      </c>
      <c r="K78" s="14">
        <f t="shared" si="13"/>
        <v>100</v>
      </c>
      <c r="L78" s="14">
        <f t="shared" si="14"/>
        <v>0</v>
      </c>
      <c r="M78" s="14">
        <f t="shared" si="16"/>
        <v>100</v>
      </c>
    </row>
    <row r="79" spans="1:13" ht="27" customHeight="1">
      <c r="A79" s="21" t="s">
        <v>99</v>
      </c>
      <c r="B79" s="16"/>
      <c r="C79" s="16" t="s">
        <v>127</v>
      </c>
      <c r="D79" s="26">
        <f>200000-63158-16899-21061.73-1734.18+108150.03</f>
        <v>205297.12</v>
      </c>
      <c r="E79" s="26">
        <f>98881.27-1734.18+108150.03</f>
        <v>205297.12</v>
      </c>
      <c r="F79" s="22">
        <f>5000+31876+1560+6008+5000+15941+25941.02+113971.1</f>
        <v>205297.12</v>
      </c>
      <c r="G79" s="26"/>
      <c r="H79" s="22"/>
      <c r="I79" s="22">
        <f>5000+31876+1560+6008+5000+15941+25941.02+113971.1</f>
        <v>205297.12</v>
      </c>
      <c r="J79" s="14">
        <f t="shared" si="12"/>
        <v>0</v>
      </c>
      <c r="K79" s="14">
        <f t="shared" si="13"/>
        <v>100</v>
      </c>
      <c r="L79" s="14">
        <f t="shared" si="14"/>
        <v>0</v>
      </c>
      <c r="M79" s="14">
        <f t="shared" si="16"/>
        <v>100</v>
      </c>
    </row>
    <row r="80" spans="1:13" ht="27" customHeight="1">
      <c r="A80" s="21" t="s">
        <v>42</v>
      </c>
      <c r="B80" s="16"/>
      <c r="C80" s="16" t="s">
        <v>128</v>
      </c>
      <c r="D80" s="26">
        <v>141242</v>
      </c>
      <c r="E80" s="26">
        <v>141242</v>
      </c>
      <c r="F80" s="22">
        <f>7889.3+12000+6711.94+12096+8004+6960+9705+7045</f>
        <v>70411.23999999999</v>
      </c>
      <c r="G80" s="26"/>
      <c r="H80" s="22"/>
      <c r="I80" s="22">
        <f>7889.3+12000+6711.94+12096+8004+6960+9705+7045</f>
        <v>70411.23999999999</v>
      </c>
      <c r="J80" s="14">
        <f t="shared" si="12"/>
        <v>70830.76000000001</v>
      </c>
      <c r="K80" s="14">
        <f t="shared" si="13"/>
        <v>49.851488933886515</v>
      </c>
      <c r="L80" s="14">
        <f t="shared" si="14"/>
        <v>70830.76000000001</v>
      </c>
      <c r="M80" s="14">
        <f t="shared" si="16"/>
        <v>49.851488933886515</v>
      </c>
    </row>
    <row r="81" spans="1:13" ht="27" customHeight="1">
      <c r="A81" s="21" t="s">
        <v>42</v>
      </c>
      <c r="B81" s="16"/>
      <c r="C81" s="16" t="s">
        <v>129</v>
      </c>
      <c r="D81" s="26">
        <f>88758+139051.16+49500+114087.36</f>
        <v>391396.52</v>
      </c>
      <c r="E81" s="26">
        <f>277309.16+114087.36</f>
        <v>391396.51999999996</v>
      </c>
      <c r="F81" s="22">
        <f>28758+159051.16+27501.78+8733.7+2430+15659.9+9821.05+42287.63+18394+69023.21</f>
        <v>381660.43</v>
      </c>
      <c r="G81" s="26"/>
      <c r="H81" s="22"/>
      <c r="I81" s="22">
        <f>28758+159051.16+27501.78+8733.7+2430+15659.9+9821.05+42287.63+18394+69023.21</f>
        <v>381660.43</v>
      </c>
      <c r="J81" s="14">
        <f t="shared" si="12"/>
        <v>9736.090000000026</v>
      </c>
      <c r="K81" s="14">
        <f t="shared" si="13"/>
        <v>97.5124740506124</v>
      </c>
      <c r="L81" s="14">
        <f t="shared" si="14"/>
        <v>9736.089999999967</v>
      </c>
      <c r="M81" s="14">
        <f t="shared" si="16"/>
        <v>97.51247405061243</v>
      </c>
    </row>
    <row r="82" spans="1:13" ht="27" customHeight="1">
      <c r="A82" s="23" t="s">
        <v>130</v>
      </c>
      <c r="B82" s="13">
        <v>217</v>
      </c>
      <c r="C82" s="13" t="s">
        <v>131</v>
      </c>
      <c r="D82" s="14">
        <f>SUM(D83:D93)</f>
        <v>1773228.83</v>
      </c>
      <c r="E82" s="14">
        <f>SUM(E83:E93)</f>
        <v>1773228.8299999998</v>
      </c>
      <c r="F82" s="14">
        <f>SUM(F83:F93)</f>
        <v>1663687.5999999999</v>
      </c>
      <c r="G82" s="22"/>
      <c r="H82" s="22"/>
      <c r="I82" s="14">
        <f>SUM(I83:I93)</f>
        <v>1663687.5999999999</v>
      </c>
      <c r="J82" s="14">
        <f t="shared" si="12"/>
        <v>109541.23000000021</v>
      </c>
      <c r="K82" s="14">
        <f t="shared" si="13"/>
        <v>93.82249892699973</v>
      </c>
      <c r="L82" s="14">
        <f t="shared" si="14"/>
        <v>109541.22999999998</v>
      </c>
      <c r="M82" s="14">
        <f t="shared" si="16"/>
        <v>93.82249892699974</v>
      </c>
    </row>
    <row r="83" spans="1:13" ht="15" customHeight="1">
      <c r="A83" s="21" t="s">
        <v>31</v>
      </c>
      <c r="B83" s="16"/>
      <c r="C83" s="16" t="s">
        <v>132</v>
      </c>
      <c r="D83" s="22">
        <f>500000+137708.2</f>
        <v>637708.2</v>
      </c>
      <c r="E83" s="22">
        <f>500000+137708.2</f>
        <v>637708.2</v>
      </c>
      <c r="F83" s="22">
        <f>129047.79+65480.61+19351+54944.51+61482.09+74486.8+38217.33+42146.47+47097.95+98964.15</f>
        <v>631218.7</v>
      </c>
      <c r="G83" s="22"/>
      <c r="H83" s="22"/>
      <c r="I83" s="22">
        <f>129047.79+65480.61+19351+54944.51+61482.09+74486.8+38217.33+42146.47+47097.95+98964.15</f>
        <v>631218.7</v>
      </c>
      <c r="J83" s="14">
        <f t="shared" si="12"/>
        <v>6489.5</v>
      </c>
      <c r="K83" s="14">
        <f t="shared" si="13"/>
        <v>98.9823715611623</v>
      </c>
      <c r="L83" s="14">
        <f t="shared" si="14"/>
        <v>6489.5</v>
      </c>
      <c r="M83" s="14">
        <f t="shared" si="16"/>
        <v>98.9823715611623</v>
      </c>
    </row>
    <row r="84" spans="1:13" ht="15.75" customHeight="1">
      <c r="A84" s="21" t="s">
        <v>33</v>
      </c>
      <c r="B84" s="16"/>
      <c r="C84" s="16" t="s">
        <v>133</v>
      </c>
      <c r="D84" s="22">
        <f>151000+26424.33</f>
        <v>177424.33000000002</v>
      </c>
      <c r="E84" s="22">
        <f>151000+26424.33</f>
        <v>177424.33000000002</v>
      </c>
      <c r="F84" s="22">
        <f>46544.72+12189.6+13700.17+14454.14+190.37+12792.47+40242.43+9048.97+14261.46+13998.81</f>
        <v>177423.13999999998</v>
      </c>
      <c r="G84" s="22"/>
      <c r="H84" s="22"/>
      <c r="I84" s="22">
        <f>46544.72+12189.6+13700.17+14454.14+190.37+12792.47+40242.43+9048.97+14261.46+13998.81</f>
        <v>177423.13999999998</v>
      </c>
      <c r="J84" s="14">
        <f t="shared" si="12"/>
        <v>1.1900000000314321</v>
      </c>
      <c r="K84" s="14">
        <f t="shared" si="13"/>
        <v>99.99932929153515</v>
      </c>
      <c r="L84" s="14">
        <f t="shared" si="14"/>
        <v>1.1900000000314321</v>
      </c>
      <c r="M84" s="14">
        <f t="shared" si="16"/>
        <v>99.99932929153515</v>
      </c>
    </row>
    <row r="85" spans="1:13" ht="15.75" customHeight="1">
      <c r="A85" s="21" t="s">
        <v>37</v>
      </c>
      <c r="B85" s="16"/>
      <c r="C85" s="16" t="s">
        <v>134</v>
      </c>
      <c r="D85" s="22">
        <f>30000+1505+1849+236+3244+20492+1007.35+1290</f>
        <v>59623.35</v>
      </c>
      <c r="E85" s="22">
        <f>36834+20492+1007.35+1290</f>
        <v>59623.35</v>
      </c>
      <c r="F85" s="22">
        <f>21000+3000+7505+1849+236+3244+20492+1007.35+1290</f>
        <v>59623.35</v>
      </c>
      <c r="G85" s="22"/>
      <c r="H85" s="22"/>
      <c r="I85" s="22">
        <f>21000+3000+7505+1849+236+3244+20492+1007.35+1290</f>
        <v>59623.35</v>
      </c>
      <c r="J85" s="14">
        <f t="shared" si="12"/>
        <v>0</v>
      </c>
      <c r="K85" s="14">
        <f t="shared" si="13"/>
        <v>100</v>
      </c>
      <c r="L85" s="14">
        <f t="shared" si="14"/>
        <v>0</v>
      </c>
      <c r="M85" s="14">
        <f t="shared" si="16"/>
        <v>100</v>
      </c>
    </row>
    <row r="86" spans="1:13" ht="15.75" customHeight="1">
      <c r="A86" s="21" t="s">
        <v>93</v>
      </c>
      <c r="B86" s="16"/>
      <c r="C86" s="16" t="s">
        <v>135</v>
      </c>
      <c r="D86" s="22">
        <f>30459.33-3082.14+5000</f>
        <v>32377.190000000002</v>
      </c>
      <c r="E86" s="22">
        <f>27377.19+5000</f>
        <v>32377.19</v>
      </c>
      <c r="F86" s="27">
        <f>4116.42+5393.95+8319.41+2970.16+627.19+1024.28+2929.06+4743.44</f>
        <v>30123.909999999996</v>
      </c>
      <c r="G86" s="26"/>
      <c r="H86" s="22"/>
      <c r="I86" s="27">
        <f>4116.42+5393.95+8319.41+2970.16+627.19+1024.28+2929.06+4743.44</f>
        <v>30123.909999999996</v>
      </c>
      <c r="J86" s="14">
        <f t="shared" si="12"/>
        <v>2253.280000000006</v>
      </c>
      <c r="K86" s="14">
        <f t="shared" si="13"/>
        <v>93.04053254775968</v>
      </c>
      <c r="L86" s="14">
        <f t="shared" si="14"/>
        <v>2253.2800000000025</v>
      </c>
      <c r="M86" s="14">
        <f t="shared" si="16"/>
        <v>93.0405325477597</v>
      </c>
    </row>
    <row r="87" spans="1:13" ht="15.75" customHeight="1">
      <c r="A87" s="21" t="s">
        <v>93</v>
      </c>
      <c r="B87" s="16"/>
      <c r="C87" s="16" t="s">
        <v>136</v>
      </c>
      <c r="D87" s="22">
        <f>47740.67+3982.14</f>
        <v>51722.81</v>
      </c>
      <c r="E87" s="22">
        <v>51722.81</v>
      </c>
      <c r="F87" s="22">
        <f>1754.07+12923.49+3171.46+2958.88+6067.61+6026.69+3795.27+3306.58+3373.92</f>
        <v>43377.97</v>
      </c>
      <c r="G87" s="26"/>
      <c r="H87" s="22"/>
      <c r="I87" s="22">
        <f>1754.07+12923.49+3171.46+2958.88+6067.61+6026.69+3795.27+3306.58+3373.92</f>
        <v>43377.97</v>
      </c>
      <c r="J87" s="14">
        <f t="shared" si="12"/>
        <v>8344.839999999997</v>
      </c>
      <c r="K87" s="14">
        <f t="shared" si="13"/>
        <v>83.86622845897197</v>
      </c>
      <c r="L87" s="14">
        <f t="shared" si="14"/>
        <v>8344.839999999997</v>
      </c>
      <c r="M87" s="14">
        <f t="shared" si="16"/>
        <v>83.86622845897197</v>
      </c>
    </row>
    <row r="88" spans="1:13" ht="15.75" customHeight="1">
      <c r="A88" s="21" t="s">
        <v>93</v>
      </c>
      <c r="B88" s="16"/>
      <c r="C88" s="16" t="s">
        <v>137</v>
      </c>
      <c r="D88" s="22">
        <f>1200-900</f>
        <v>300</v>
      </c>
      <c r="E88" s="22">
        <v>300</v>
      </c>
      <c r="F88" s="22"/>
      <c r="G88" s="26"/>
      <c r="H88" s="22"/>
      <c r="I88" s="22"/>
      <c r="J88" s="14">
        <f t="shared" si="12"/>
        <v>300</v>
      </c>
      <c r="K88" s="14">
        <f t="shared" si="13"/>
        <v>0</v>
      </c>
      <c r="L88" s="14">
        <f t="shared" si="14"/>
        <v>300</v>
      </c>
      <c r="M88" s="14"/>
    </row>
    <row r="89" spans="1:13" ht="15.75" customHeight="1">
      <c r="A89" s="21" t="s">
        <v>118</v>
      </c>
      <c r="B89" s="16"/>
      <c r="C89" s="16" t="s">
        <v>138</v>
      </c>
      <c r="D89" s="22">
        <f>300000-27723.21-1849-236-6902.63-3244-109498</f>
        <v>150547.15999999997</v>
      </c>
      <c r="E89" s="22">
        <f>260045.16-109498</f>
        <v>150547.16</v>
      </c>
      <c r="F89" s="22">
        <f>10200+19695.82+11645+18711+24719</f>
        <v>84970.82</v>
      </c>
      <c r="G89" s="22"/>
      <c r="H89" s="22"/>
      <c r="I89" s="22">
        <f>10200+19695.82+11645+18711+24719</f>
        <v>84970.82</v>
      </c>
      <c r="J89" s="14">
        <f t="shared" si="12"/>
        <v>65576.33999999997</v>
      </c>
      <c r="K89" s="14">
        <f t="shared" si="13"/>
        <v>56.441330411015414</v>
      </c>
      <c r="L89" s="14">
        <f t="shared" si="14"/>
        <v>65576.34</v>
      </c>
      <c r="M89" s="14">
        <f aca="true" t="shared" si="17" ref="M89:M99">F89/E89*100</f>
        <v>56.4413304110154</v>
      </c>
    </row>
    <row r="90" spans="1:13" ht="15.75" customHeight="1">
      <c r="A90" s="21" t="s">
        <v>139</v>
      </c>
      <c r="B90" s="16"/>
      <c r="C90" s="16" t="s">
        <v>140</v>
      </c>
      <c r="D90" s="22">
        <v>80000</v>
      </c>
      <c r="E90" s="22">
        <v>80000</v>
      </c>
      <c r="F90" s="22">
        <f>10005+4611.5+13345.5+13345.5+16070+2845.5+571.71+6405+571.71</f>
        <v>67771.42</v>
      </c>
      <c r="G90" s="22"/>
      <c r="H90" s="22"/>
      <c r="I90" s="22">
        <f>10005+4611.5+13345.5+13345.5+16070+2845.5+571.71+6405+571.71</f>
        <v>67771.42</v>
      </c>
      <c r="J90" s="14">
        <f t="shared" si="12"/>
        <v>12228.580000000002</v>
      </c>
      <c r="K90" s="14">
        <f t="shared" si="13"/>
        <v>84.714275</v>
      </c>
      <c r="L90" s="14">
        <f t="shared" si="14"/>
        <v>12228.580000000002</v>
      </c>
      <c r="M90" s="14">
        <f t="shared" si="17"/>
        <v>84.714275</v>
      </c>
    </row>
    <row r="91" spans="1:13" ht="15.75" customHeight="1">
      <c r="A91" s="21" t="s">
        <v>35</v>
      </c>
      <c r="B91" s="16"/>
      <c r="C91" s="16" t="s">
        <v>141</v>
      </c>
      <c r="D91" s="22">
        <v>15000</v>
      </c>
      <c r="E91" s="22">
        <v>15000</v>
      </c>
      <c r="F91" s="22">
        <v>652.5</v>
      </c>
      <c r="G91" s="22"/>
      <c r="H91" s="22"/>
      <c r="I91" s="22">
        <v>652.5</v>
      </c>
      <c r="J91" s="14">
        <f t="shared" si="12"/>
        <v>14347.5</v>
      </c>
      <c r="K91" s="14">
        <f t="shared" si="13"/>
        <v>4.35</v>
      </c>
      <c r="L91" s="14">
        <f t="shared" si="14"/>
        <v>14347.5</v>
      </c>
      <c r="M91" s="14">
        <f t="shared" si="17"/>
        <v>4.35</v>
      </c>
    </row>
    <row r="92" spans="1:13" ht="15.75" customHeight="1">
      <c r="A92" s="21" t="s">
        <v>99</v>
      </c>
      <c r="B92" s="16"/>
      <c r="C92" s="16" t="s">
        <v>142</v>
      </c>
      <c r="D92" s="18">
        <f>100000+27723.21+5290+6902.63+89006+11883+107997.12</f>
        <v>348801.95999999996</v>
      </c>
      <c r="E92" s="22">
        <f>52000+75723.21+5290+6902.63+89006+11883+107997.12</f>
        <v>348801.96</v>
      </c>
      <c r="F92" s="22">
        <f>32080+95643.21+5290+6902.63+89006+11883+107997.12</f>
        <v>348801.96</v>
      </c>
      <c r="G92" s="22"/>
      <c r="H92" s="22"/>
      <c r="I92" s="22">
        <f>32080+95643.21+5290+6902.63+89006+11883+107997.12</f>
        <v>348801.96</v>
      </c>
      <c r="J92" s="14">
        <f t="shared" si="12"/>
        <v>0</v>
      </c>
      <c r="K92" s="14">
        <f t="shared" si="13"/>
        <v>100.00000000000003</v>
      </c>
      <c r="L92" s="14">
        <f t="shared" si="14"/>
        <v>0</v>
      </c>
      <c r="M92" s="14">
        <f t="shared" si="17"/>
        <v>100</v>
      </c>
    </row>
    <row r="93" spans="1:13" ht="27" customHeight="1">
      <c r="A93" s="21" t="s">
        <v>42</v>
      </c>
      <c r="B93" s="16"/>
      <c r="C93" s="16" t="s">
        <v>143</v>
      </c>
      <c r="D93" s="22">
        <f>83000+44983.71+91740.12</f>
        <v>219723.83</v>
      </c>
      <c r="E93" s="22">
        <f>83000+44983.71+91740.12</f>
        <v>219723.83</v>
      </c>
      <c r="F93" s="22">
        <f>3246.36+3152+13380.98+4170.37+4029+191745.12</f>
        <v>219723.83</v>
      </c>
      <c r="G93" s="22"/>
      <c r="H93" s="22"/>
      <c r="I93" s="22">
        <f>3246.36+3152+13380.98+4170.37+4029+191745.12</f>
        <v>219723.83</v>
      </c>
      <c r="J93" s="14">
        <f t="shared" si="12"/>
        <v>0</v>
      </c>
      <c r="K93" s="14">
        <f t="shared" si="13"/>
        <v>100</v>
      </c>
      <c r="L93" s="14">
        <f t="shared" si="14"/>
        <v>0</v>
      </c>
      <c r="M93" s="14">
        <f t="shared" si="17"/>
        <v>100</v>
      </c>
    </row>
    <row r="94" spans="1:13" ht="27.75" customHeight="1">
      <c r="A94" s="23" t="s">
        <v>144</v>
      </c>
      <c r="B94" s="13">
        <v>218</v>
      </c>
      <c r="C94" s="13">
        <v>1101</v>
      </c>
      <c r="D94" s="14">
        <f>SUM(D95:D113)</f>
        <v>7262605.05</v>
      </c>
      <c r="E94" s="14">
        <f>SUM(E95:E113)</f>
        <v>7262605.05</v>
      </c>
      <c r="F94" s="14">
        <f>SUM(F95:F113)</f>
        <v>6972258.5600000005</v>
      </c>
      <c r="G94" s="22"/>
      <c r="H94" s="22"/>
      <c r="I94" s="14">
        <f>SUM(I95:I113)</f>
        <v>6972258.5600000005</v>
      </c>
      <c r="J94" s="14">
        <f t="shared" si="12"/>
        <v>290346.4899999993</v>
      </c>
      <c r="K94" s="14">
        <f t="shared" si="13"/>
        <v>96.00217156239276</v>
      </c>
      <c r="L94" s="14">
        <f t="shared" si="14"/>
        <v>290346.4899999993</v>
      </c>
      <c r="M94" s="22">
        <f t="shared" si="17"/>
        <v>96.00217156239276</v>
      </c>
    </row>
    <row r="95" spans="1:13" ht="23.25" customHeight="1">
      <c r="A95" s="21" t="s">
        <v>31</v>
      </c>
      <c r="B95" s="16"/>
      <c r="C95" s="16" t="s">
        <v>145</v>
      </c>
      <c r="D95" s="22">
        <f>2835053.59+266516.85</f>
        <v>3101570.44</v>
      </c>
      <c r="E95" s="22">
        <f>2835053.59+266516.85</f>
        <v>3101570.44</v>
      </c>
      <c r="F95" s="22">
        <f>619413.06+372953.54+93013.71+256853.13+319133.38+189393.99+248270.83+211012.56+256089.4+528940.07</f>
        <v>3095073.6699999995</v>
      </c>
      <c r="G95" s="22"/>
      <c r="H95" s="22"/>
      <c r="I95" s="22">
        <f>619413.06+372953.54+93013.71+256853.13+319133.38+189393.99+248270.83+211012.56+256089.4+528940.07</f>
        <v>3095073.6699999995</v>
      </c>
      <c r="J95" s="14">
        <f t="shared" si="12"/>
        <v>6496.770000000484</v>
      </c>
      <c r="K95" s="14">
        <f t="shared" si="13"/>
        <v>99.79053288888062</v>
      </c>
      <c r="L95" s="14">
        <f t="shared" si="14"/>
        <v>6496.770000000484</v>
      </c>
      <c r="M95" s="22">
        <f t="shared" si="17"/>
        <v>99.79053288888062</v>
      </c>
    </row>
    <row r="96" spans="1:13" ht="24" customHeight="1">
      <c r="A96" s="21" t="s">
        <v>146</v>
      </c>
      <c r="B96" s="16"/>
      <c r="C96" s="16" t="s">
        <v>147</v>
      </c>
      <c r="D96" s="22">
        <v>5000</v>
      </c>
      <c r="E96" s="22">
        <v>5000</v>
      </c>
      <c r="F96" s="22"/>
      <c r="G96" s="22"/>
      <c r="H96" s="22"/>
      <c r="I96" s="22"/>
      <c r="J96" s="14">
        <f t="shared" si="12"/>
        <v>5000</v>
      </c>
      <c r="K96" s="14">
        <f t="shared" si="13"/>
        <v>0</v>
      </c>
      <c r="L96" s="14">
        <f t="shared" si="14"/>
        <v>5000</v>
      </c>
      <c r="M96" s="22">
        <f t="shared" si="17"/>
        <v>0</v>
      </c>
    </row>
    <row r="97" spans="1:13" ht="23.25" customHeight="1">
      <c r="A97" s="21" t="s">
        <v>33</v>
      </c>
      <c r="B97" s="16"/>
      <c r="C97" s="16" t="s">
        <v>148</v>
      </c>
      <c r="D97" s="22">
        <f>856195.32+10544.06+12781.81</f>
        <v>879521.1900000001</v>
      </c>
      <c r="E97" s="22">
        <f>856195.32+10544.06+12781.81</f>
        <v>879521.1900000001</v>
      </c>
      <c r="F97" s="22">
        <f>205504.69+101247.93+20365.92+88673.79-19347.8+87210.35+160137.95+89453.12+62235.56+84039.68</f>
        <v>879521.19</v>
      </c>
      <c r="G97" s="22"/>
      <c r="H97" s="22"/>
      <c r="I97" s="22">
        <f>205504.69+101247.93+20365.92+88673.79-19347.8+87210.35+160137.95+89453.12+62235.56+84039.68</f>
        <v>879521.19</v>
      </c>
      <c r="J97" s="14">
        <f t="shared" si="12"/>
        <v>0</v>
      </c>
      <c r="K97" s="14">
        <f t="shared" si="13"/>
        <v>99.99999999999999</v>
      </c>
      <c r="L97" s="14">
        <f t="shared" si="14"/>
        <v>0</v>
      </c>
      <c r="M97" s="22">
        <f t="shared" si="17"/>
        <v>99.99999999999999</v>
      </c>
    </row>
    <row r="98" spans="1:13" ht="23.25" customHeight="1">
      <c r="A98" s="21" t="s">
        <v>37</v>
      </c>
      <c r="B98" s="16"/>
      <c r="C98" s="16" t="s">
        <v>149</v>
      </c>
      <c r="D98" s="22">
        <v>3000</v>
      </c>
      <c r="E98" s="22">
        <v>3000</v>
      </c>
      <c r="F98" s="22"/>
      <c r="G98" s="22"/>
      <c r="H98" s="22"/>
      <c r="I98" s="22"/>
      <c r="J98" s="14">
        <f t="shared" si="12"/>
        <v>3000</v>
      </c>
      <c r="K98" s="14">
        <f t="shared" si="13"/>
        <v>0</v>
      </c>
      <c r="L98" s="14">
        <f t="shared" si="14"/>
        <v>3000</v>
      </c>
      <c r="M98" s="22">
        <f t="shared" si="17"/>
        <v>0</v>
      </c>
    </row>
    <row r="99" spans="1:13" s="32" customFormat="1" ht="23.25" customHeight="1">
      <c r="A99" s="28" t="s">
        <v>150</v>
      </c>
      <c r="B99" s="29"/>
      <c r="C99" s="29" t="s">
        <v>151</v>
      </c>
      <c r="D99" s="30">
        <f>72000-69600</f>
        <v>2400</v>
      </c>
      <c r="E99" s="30">
        <f>72000-69600</f>
        <v>2400</v>
      </c>
      <c r="F99" s="30">
        <v>2400</v>
      </c>
      <c r="G99" s="30"/>
      <c r="H99" s="30"/>
      <c r="I99" s="30">
        <v>2400</v>
      </c>
      <c r="J99" s="31">
        <f t="shared" si="12"/>
        <v>0</v>
      </c>
      <c r="K99" s="31">
        <f t="shared" si="13"/>
        <v>100</v>
      </c>
      <c r="L99" s="31">
        <f t="shared" si="14"/>
        <v>0</v>
      </c>
      <c r="M99" s="22">
        <f t="shared" si="17"/>
        <v>100</v>
      </c>
    </row>
    <row r="100" spans="1:13" s="32" customFormat="1" ht="23.25" customHeight="1">
      <c r="A100" s="28" t="s">
        <v>150</v>
      </c>
      <c r="B100" s="29"/>
      <c r="C100" s="29" t="s">
        <v>152</v>
      </c>
      <c r="D100" s="30">
        <v>0</v>
      </c>
      <c r="E100" s="30">
        <v>0</v>
      </c>
      <c r="F100" s="30"/>
      <c r="G100" s="30"/>
      <c r="H100" s="30"/>
      <c r="I100" s="30"/>
      <c r="J100" s="31">
        <f t="shared" si="12"/>
        <v>0</v>
      </c>
      <c r="K100" s="31"/>
      <c r="L100" s="31"/>
      <c r="M100" s="22"/>
    </row>
    <row r="101" spans="1:13" ht="21" customHeight="1">
      <c r="A101" s="21" t="s">
        <v>93</v>
      </c>
      <c r="B101" s="16"/>
      <c r="C101" s="16" t="s">
        <v>153</v>
      </c>
      <c r="D101" s="22">
        <v>335206.43</v>
      </c>
      <c r="E101" s="22">
        <v>335206.43</v>
      </c>
      <c r="F101" s="22">
        <f>41536.24+54676.72+38435.9+39441.97+29134.91+14118.17+33562.73+43680.74</f>
        <v>294587.38</v>
      </c>
      <c r="G101" s="26"/>
      <c r="H101" s="22"/>
      <c r="I101" s="22">
        <f>41536.24+54676.72+38435.9+39441.97+29134.91+14118.17+33562.73+43680.74</f>
        <v>294587.38</v>
      </c>
      <c r="J101" s="14">
        <f t="shared" si="12"/>
        <v>40619.04999999999</v>
      </c>
      <c r="K101" s="14">
        <f aca="true" t="shared" si="18" ref="K101:K120">F101/D101*100</f>
        <v>87.88237743530158</v>
      </c>
      <c r="L101" s="14">
        <f aca="true" t="shared" si="19" ref="L101:L120">E101-F101</f>
        <v>40619.04999999999</v>
      </c>
      <c r="M101" s="22">
        <f aca="true" t="shared" si="20" ref="M101:M120">F101/E101*100</f>
        <v>87.88237743530158</v>
      </c>
    </row>
    <row r="102" spans="1:13" ht="24" customHeight="1">
      <c r="A102" s="21" t="s">
        <v>93</v>
      </c>
      <c r="B102" s="16"/>
      <c r="C102" s="16" t="s">
        <v>154</v>
      </c>
      <c r="D102" s="22">
        <v>250710.85</v>
      </c>
      <c r="E102" s="22">
        <v>250710.85</v>
      </c>
      <c r="F102" s="22">
        <f>15273.65+9995.24+14499.78+12374.48+13424.42+13052.32+9292.24+6162.22+16552.59+7989.3</f>
        <v>118616.23999999999</v>
      </c>
      <c r="G102" s="26"/>
      <c r="H102" s="22"/>
      <c r="I102" s="22">
        <f>15273.65+9995.24+14499.78+12374.48+13424.42+13052.32+9292.24+6162.22+16552.59+7989.3</f>
        <v>118616.23999999999</v>
      </c>
      <c r="J102" s="14">
        <f t="shared" si="12"/>
        <v>132094.61000000002</v>
      </c>
      <c r="K102" s="14">
        <f t="shared" si="18"/>
        <v>47.31196914692762</v>
      </c>
      <c r="L102" s="14">
        <f t="shared" si="19"/>
        <v>132094.61000000002</v>
      </c>
      <c r="M102" s="22">
        <f t="shared" si="20"/>
        <v>47.31196914692762</v>
      </c>
    </row>
    <row r="103" spans="1:13" ht="21" customHeight="1">
      <c r="A103" s="21" t="s">
        <v>76</v>
      </c>
      <c r="B103" s="16"/>
      <c r="C103" s="16" t="s">
        <v>155</v>
      </c>
      <c r="D103" s="22">
        <f>1600000-170556.16-510000+202168.09+7000+223380.85</f>
        <v>1351992.7800000003</v>
      </c>
      <c r="E103" s="22">
        <f>919443.84+202168.09+7000+223380.85</f>
        <v>1351992.78</v>
      </c>
      <c r="F103" s="22">
        <f>6300+34900+81398.97+136839.77+6200+200000+450000+205973.19+4497.4+225883.45</f>
        <v>1351992.7799999998</v>
      </c>
      <c r="G103" s="22"/>
      <c r="H103" s="22"/>
      <c r="I103" s="22">
        <f>6300+34900+81398.97+136839.77+6200+200000+450000+205973.19+4497.4+225883.45</f>
        <v>1351992.7799999998</v>
      </c>
      <c r="J103" s="14">
        <f t="shared" si="12"/>
        <v>0</v>
      </c>
      <c r="K103" s="14">
        <f t="shared" si="18"/>
        <v>99.99999999999997</v>
      </c>
      <c r="L103" s="14">
        <f t="shared" si="19"/>
        <v>0</v>
      </c>
      <c r="M103" s="22">
        <f t="shared" si="20"/>
        <v>99.99999999999997</v>
      </c>
    </row>
    <row r="104" spans="1:13" ht="20.25" customHeight="1">
      <c r="A104" s="21" t="s">
        <v>139</v>
      </c>
      <c r="B104" s="16"/>
      <c r="C104" s="16" t="s">
        <v>156</v>
      </c>
      <c r="D104" s="22">
        <f>128000-86900</f>
        <v>41100</v>
      </c>
      <c r="E104" s="22">
        <f>128000-86900</f>
        <v>41100</v>
      </c>
      <c r="F104" s="22">
        <f>14100+27000</f>
        <v>41100</v>
      </c>
      <c r="G104" s="22"/>
      <c r="H104" s="22"/>
      <c r="I104" s="22">
        <f>14100+27000</f>
        <v>41100</v>
      </c>
      <c r="J104" s="14">
        <f t="shared" si="12"/>
        <v>0</v>
      </c>
      <c r="K104" s="14">
        <f t="shared" si="18"/>
        <v>100</v>
      </c>
      <c r="L104" s="14">
        <f t="shared" si="19"/>
        <v>0</v>
      </c>
      <c r="M104" s="22">
        <f t="shared" si="20"/>
        <v>100</v>
      </c>
    </row>
    <row r="105" spans="1:13" ht="20.25" customHeight="1">
      <c r="A105" s="21" t="s">
        <v>35</v>
      </c>
      <c r="B105" s="16"/>
      <c r="C105" s="16" t="s">
        <v>157</v>
      </c>
      <c r="D105" s="22">
        <f>215000-20160-84126.46+11558.9+76000</f>
        <v>198272.44</v>
      </c>
      <c r="E105" s="22">
        <f>194840-84126.46+11558.9+76000</f>
        <v>198272.44</v>
      </c>
      <c r="F105" s="22">
        <f>11843+7796+47602.53+24889.91+5277+1200+8300+8364+83000</f>
        <v>198272.44</v>
      </c>
      <c r="G105" s="22"/>
      <c r="H105" s="22"/>
      <c r="I105" s="22">
        <f>11843+7796+47602.53+24889.91+5277+1200+8300+8364+83000</f>
        <v>198272.44</v>
      </c>
      <c r="J105" s="14">
        <f t="shared" si="12"/>
        <v>0</v>
      </c>
      <c r="K105" s="14">
        <f t="shared" si="18"/>
        <v>100</v>
      </c>
      <c r="L105" s="14">
        <f t="shared" si="19"/>
        <v>0</v>
      </c>
      <c r="M105" s="22">
        <f t="shared" si="20"/>
        <v>100</v>
      </c>
    </row>
    <row r="106" spans="1:13" ht="20.25" customHeight="1">
      <c r="A106" s="21" t="s">
        <v>35</v>
      </c>
      <c r="B106" s="16"/>
      <c r="C106" s="16" t="s">
        <v>158</v>
      </c>
      <c r="D106" s="22">
        <f>2000-245.6-245.6+491.2</f>
        <v>2000.0000000000002</v>
      </c>
      <c r="E106" s="22">
        <v>2000</v>
      </c>
      <c r="F106" s="22">
        <v>2000</v>
      </c>
      <c r="G106" s="22"/>
      <c r="H106" s="22"/>
      <c r="I106" s="22">
        <v>2000</v>
      </c>
      <c r="J106" s="14">
        <f t="shared" si="12"/>
        <v>0</v>
      </c>
      <c r="K106" s="14">
        <f t="shared" si="18"/>
        <v>99.99999999999999</v>
      </c>
      <c r="L106" s="14">
        <f t="shared" si="19"/>
        <v>0</v>
      </c>
      <c r="M106" s="22">
        <f t="shared" si="20"/>
        <v>100</v>
      </c>
    </row>
    <row r="107" spans="1:13" ht="20.25" customHeight="1">
      <c r="A107" s="21" t="s">
        <v>35</v>
      </c>
      <c r="B107" s="16"/>
      <c r="C107" s="16" t="s">
        <v>159</v>
      </c>
      <c r="D107" s="22">
        <f>53.89+245.6+245.6+1732.85+6121.1</f>
        <v>8399.04</v>
      </c>
      <c r="E107" s="22">
        <f>53.89+245.6+245.6+1732.85+6121.1</f>
        <v>8399.04</v>
      </c>
      <c r="F107" s="22">
        <f>299.49+245.6+1732.85+6121.1</f>
        <v>8399.04</v>
      </c>
      <c r="G107" s="22"/>
      <c r="H107" s="22"/>
      <c r="I107" s="22">
        <f>299.49+245.6+1732.85+6121.1</f>
        <v>8399.04</v>
      </c>
      <c r="J107" s="14">
        <f t="shared" si="12"/>
        <v>0</v>
      </c>
      <c r="K107" s="14">
        <f t="shared" si="18"/>
        <v>100</v>
      </c>
      <c r="L107" s="14">
        <f t="shared" si="19"/>
        <v>0</v>
      </c>
      <c r="M107" s="22">
        <f t="shared" si="20"/>
        <v>100</v>
      </c>
    </row>
    <row r="108" spans="1:13" s="32" customFormat="1" ht="20.25" customHeight="1">
      <c r="A108" s="28" t="s">
        <v>56</v>
      </c>
      <c r="B108" s="29"/>
      <c r="C108" s="29" t="s">
        <v>160</v>
      </c>
      <c r="D108" s="30">
        <f>19454.91-1732.85</f>
        <v>17722.06</v>
      </c>
      <c r="E108" s="30">
        <v>17722.06</v>
      </c>
      <c r="F108" s="30">
        <f>7164+3724+3698</f>
        <v>14586</v>
      </c>
      <c r="G108" s="30"/>
      <c r="H108" s="30"/>
      <c r="I108" s="30">
        <f>7164+3724+3698</f>
        <v>14586</v>
      </c>
      <c r="J108" s="31">
        <f t="shared" si="12"/>
        <v>3136.0600000000013</v>
      </c>
      <c r="K108" s="31">
        <f t="shared" si="18"/>
        <v>82.30420165601515</v>
      </c>
      <c r="L108" s="31">
        <f t="shared" si="19"/>
        <v>3136.0600000000013</v>
      </c>
      <c r="M108" s="22">
        <f t="shared" si="20"/>
        <v>82.30420165601515</v>
      </c>
    </row>
    <row r="109" spans="1:13" ht="20.25" customHeight="1">
      <c r="A109" s="21" t="s">
        <v>35</v>
      </c>
      <c r="B109" s="16"/>
      <c r="C109" s="16" t="s">
        <v>161</v>
      </c>
      <c r="D109" s="22"/>
      <c r="E109" s="22"/>
      <c r="F109" s="22"/>
      <c r="G109" s="22"/>
      <c r="H109" s="22"/>
      <c r="I109" s="22"/>
      <c r="J109" s="14">
        <f t="shared" si="12"/>
        <v>0</v>
      </c>
      <c r="K109" s="14" t="e">
        <f t="shared" si="18"/>
        <v>#DIV/0!</v>
      </c>
      <c r="L109" s="14">
        <f t="shared" si="19"/>
        <v>0</v>
      </c>
      <c r="M109" s="22" t="e">
        <f t="shared" si="20"/>
        <v>#DIV/0!</v>
      </c>
    </row>
    <row r="110" spans="1:13" ht="22.5" customHeight="1">
      <c r="A110" s="21" t="s">
        <v>35</v>
      </c>
      <c r="B110" s="16"/>
      <c r="C110" s="16" t="s">
        <v>162</v>
      </c>
      <c r="D110" s="22">
        <f>130000+20160+99000</f>
        <v>249160</v>
      </c>
      <c r="E110" s="22">
        <f>150160+99000</f>
        <v>249160</v>
      </c>
      <c r="F110" s="22">
        <f>129000+20160</f>
        <v>149160</v>
      </c>
      <c r="G110" s="22"/>
      <c r="H110" s="22"/>
      <c r="I110" s="22">
        <f>129000+20160</f>
        <v>149160</v>
      </c>
      <c r="J110" s="14">
        <f t="shared" si="12"/>
        <v>100000</v>
      </c>
      <c r="K110" s="14">
        <f t="shared" si="18"/>
        <v>59.86514689356237</v>
      </c>
      <c r="L110" s="14">
        <f t="shared" si="19"/>
        <v>100000</v>
      </c>
      <c r="M110" s="22">
        <f t="shared" si="20"/>
        <v>59.86514689356237</v>
      </c>
    </row>
    <row r="111" spans="1:13" ht="32.25" customHeight="1">
      <c r="A111" s="21" t="s">
        <v>99</v>
      </c>
      <c r="B111" s="16"/>
      <c r="C111" s="16" t="s">
        <v>163</v>
      </c>
      <c r="D111" s="22">
        <f>180000+114000+198000</f>
        <v>492000</v>
      </c>
      <c r="E111" s="22">
        <f>180000+114000+198000</f>
        <v>492000</v>
      </c>
      <c r="F111" s="22">
        <f>39000+70000+185000+99000+99000</f>
        <v>492000</v>
      </c>
      <c r="G111" s="22"/>
      <c r="H111" s="22"/>
      <c r="I111" s="22">
        <f>39000+70000+185000+99000+99000</f>
        <v>492000</v>
      </c>
      <c r="J111" s="14">
        <f t="shared" si="12"/>
        <v>0</v>
      </c>
      <c r="K111" s="14">
        <f t="shared" si="18"/>
        <v>100</v>
      </c>
      <c r="L111" s="14">
        <f t="shared" si="19"/>
        <v>0</v>
      </c>
      <c r="M111" s="22">
        <f t="shared" si="20"/>
        <v>100</v>
      </c>
    </row>
    <row r="112" spans="1:13" ht="32.25" customHeight="1">
      <c r="A112" s="21" t="s">
        <v>42</v>
      </c>
      <c r="B112" s="16"/>
      <c r="C112" s="16" t="s">
        <v>164</v>
      </c>
      <c r="D112" s="22">
        <f>230000+42129.82+2420</f>
        <v>274549.82</v>
      </c>
      <c r="E112" s="22">
        <f>230000+42129.82+2420</f>
        <v>274549.82</v>
      </c>
      <c r="F112" s="22">
        <f>60610+17598.08+50596.66+420+1503.76+141401.32+1454+966</f>
        <v>274549.82</v>
      </c>
      <c r="G112" s="22"/>
      <c r="H112" s="22"/>
      <c r="I112" s="22">
        <f>60610+17598.08+50596.66+420+1503.76+141401.32+1454+966</f>
        <v>274549.82</v>
      </c>
      <c r="J112" s="14">
        <f t="shared" si="12"/>
        <v>0</v>
      </c>
      <c r="K112" s="14">
        <f t="shared" si="18"/>
        <v>100</v>
      </c>
      <c r="L112" s="14">
        <f t="shared" si="19"/>
        <v>0</v>
      </c>
      <c r="M112" s="22">
        <f t="shared" si="20"/>
        <v>100</v>
      </c>
    </row>
    <row r="113" spans="1:13" s="32" customFormat="1" ht="23.25" customHeight="1">
      <c r="A113" s="28" t="s">
        <v>150</v>
      </c>
      <c r="B113" s="29"/>
      <c r="C113" s="29" t="s">
        <v>165</v>
      </c>
      <c r="D113" s="30">
        <v>50000</v>
      </c>
      <c r="E113" s="30">
        <v>50000</v>
      </c>
      <c r="F113" s="30">
        <v>50000</v>
      </c>
      <c r="G113" s="30"/>
      <c r="H113" s="30"/>
      <c r="I113" s="30">
        <v>50000</v>
      </c>
      <c r="J113" s="31">
        <f t="shared" si="12"/>
        <v>0</v>
      </c>
      <c r="K113" s="31">
        <f t="shared" si="18"/>
        <v>100</v>
      </c>
      <c r="L113" s="31">
        <f t="shared" si="19"/>
        <v>0</v>
      </c>
      <c r="M113" s="22">
        <f t="shared" si="20"/>
        <v>100</v>
      </c>
    </row>
    <row r="114" spans="1:13" s="1" customFormat="1" ht="20.25" customHeight="1">
      <c r="A114" s="23" t="s">
        <v>166</v>
      </c>
      <c r="B114" s="13">
        <v>219</v>
      </c>
      <c r="C114" s="13" t="s">
        <v>167</v>
      </c>
      <c r="D114" s="14">
        <f>4550000-23900</f>
        <v>4526100</v>
      </c>
      <c r="E114" s="14">
        <v>4526100</v>
      </c>
      <c r="F114" s="14">
        <f>200000+100000+305868.77+300000+1350724.18+100000+1000000+751194.56</f>
        <v>4107787.5100000002</v>
      </c>
      <c r="G114" s="14" t="s">
        <v>27</v>
      </c>
      <c r="H114" s="14" t="s">
        <v>27</v>
      </c>
      <c r="I114" s="14">
        <f>200000+100000+305868.77+300000+1350724.18+100000+1000000+751194.56</f>
        <v>4107787.5100000002</v>
      </c>
      <c r="J114" s="14">
        <f t="shared" si="12"/>
        <v>418312.48999999976</v>
      </c>
      <c r="K114" s="14">
        <f t="shared" si="18"/>
        <v>90.75777181237711</v>
      </c>
      <c r="L114" s="14">
        <f t="shared" si="19"/>
        <v>418312.48999999976</v>
      </c>
      <c r="M114" s="14">
        <f t="shared" si="20"/>
        <v>90.75777181237711</v>
      </c>
    </row>
    <row r="115" spans="1:13" s="1" customFormat="1" ht="24" customHeight="1">
      <c r="A115" s="23" t="s">
        <v>166</v>
      </c>
      <c r="B115" s="13">
        <v>220</v>
      </c>
      <c r="C115" s="13" t="s">
        <v>168</v>
      </c>
      <c r="D115" s="14">
        <f>1768500-12100</f>
        <v>1756400</v>
      </c>
      <c r="E115" s="14">
        <v>1756400</v>
      </c>
      <c r="F115" s="14">
        <f>321738.6+151262.05+199324.54+59110.12+164145.69+162045.31+209039.06+129388.41+336612.49</f>
        <v>1732666.27</v>
      </c>
      <c r="G115" s="14"/>
      <c r="H115" s="14"/>
      <c r="I115" s="14">
        <f>321738.6+151262.05+199324.54+59110.12+164145.69+162045.31+209039.06+129388.41+336612.49</f>
        <v>1732666.27</v>
      </c>
      <c r="J115" s="14">
        <f t="shared" si="12"/>
        <v>23733.72999999998</v>
      </c>
      <c r="K115" s="14">
        <f t="shared" si="18"/>
        <v>98.64872864951036</v>
      </c>
      <c r="L115" s="14">
        <f t="shared" si="19"/>
        <v>23733.72999999998</v>
      </c>
      <c r="M115" s="14">
        <f t="shared" si="20"/>
        <v>98.64872864951036</v>
      </c>
    </row>
    <row r="116" spans="1:13" s="1" customFormat="1" ht="24" customHeight="1">
      <c r="A116" s="23" t="s">
        <v>169</v>
      </c>
      <c r="B116" s="13">
        <v>221</v>
      </c>
      <c r="C116" s="13" t="s">
        <v>170</v>
      </c>
      <c r="D116" s="14">
        <f>520000+287405.29</f>
        <v>807405.29</v>
      </c>
      <c r="E116" s="14">
        <v>807405.29</v>
      </c>
      <c r="F116" s="14">
        <f>94556+39989.07+42074.21+99204.21+93942.62+93753.97+87405.29+80845.3+74903.27+46371.45</f>
        <v>753045.39</v>
      </c>
      <c r="G116" s="14"/>
      <c r="H116" s="14"/>
      <c r="I116" s="14">
        <f>94556+39989.07+42074.21+99204.21+93942.62+93753.97+87405.29+80845.3+74903.27+46371.45</f>
        <v>753045.39</v>
      </c>
      <c r="J116" s="14">
        <f t="shared" si="12"/>
        <v>54359.90000000002</v>
      </c>
      <c r="K116" s="14">
        <f t="shared" si="18"/>
        <v>93.26733417860068</v>
      </c>
      <c r="L116" s="14">
        <f t="shared" si="19"/>
        <v>54359.90000000002</v>
      </c>
      <c r="M116" s="14">
        <f t="shared" si="20"/>
        <v>93.26733417860068</v>
      </c>
    </row>
    <row r="117" spans="1:13" s="1" customFormat="1" ht="24" customHeight="1">
      <c r="A117" s="23" t="s">
        <v>45</v>
      </c>
      <c r="B117" s="13">
        <v>222</v>
      </c>
      <c r="C117" s="13" t="s">
        <v>171</v>
      </c>
      <c r="D117" s="33">
        <f>4000+82000+4000+157500+119000+15000+65000+229000+134300+167000+20000+29500</f>
        <v>1026300</v>
      </c>
      <c r="E117" s="33">
        <f>4000+82000+4000+157500+119000+15000+65000+229000+134300+167000+20000+29500</f>
        <v>1026300</v>
      </c>
      <c r="F117" s="14">
        <f>90000+157500+119000+15000+65000+229000+134300+167000+20000+29500</f>
        <v>1026300</v>
      </c>
      <c r="G117" s="14"/>
      <c r="H117" s="14"/>
      <c r="I117" s="14">
        <f>90000+157500+119000+15000+65000+229000+134300+167000+20000+29500</f>
        <v>1026300</v>
      </c>
      <c r="J117" s="14">
        <f t="shared" si="12"/>
        <v>0</v>
      </c>
      <c r="K117" s="14">
        <f t="shared" si="18"/>
        <v>100</v>
      </c>
      <c r="L117" s="14">
        <f t="shared" si="19"/>
        <v>0</v>
      </c>
      <c r="M117" s="14">
        <f t="shared" si="20"/>
        <v>100</v>
      </c>
    </row>
    <row r="118" spans="1:13" s="1" customFormat="1" ht="24" customHeight="1">
      <c r="A118" s="23" t="s">
        <v>50</v>
      </c>
      <c r="B118" s="13">
        <v>222</v>
      </c>
      <c r="C118" s="13" t="s">
        <v>172</v>
      </c>
      <c r="D118" s="33">
        <f>30000+98400+70000</f>
        <v>198400</v>
      </c>
      <c r="E118" s="33">
        <f>30000+98400+70000</f>
        <v>198400</v>
      </c>
      <c r="F118" s="14">
        <f>9000+119400</f>
        <v>128400</v>
      </c>
      <c r="G118" s="14"/>
      <c r="H118" s="14"/>
      <c r="I118" s="14">
        <f>9000+119400</f>
        <v>128400</v>
      </c>
      <c r="J118" s="14">
        <f t="shared" si="12"/>
        <v>70000</v>
      </c>
      <c r="K118" s="14">
        <f t="shared" si="18"/>
        <v>64.71774193548387</v>
      </c>
      <c r="L118" s="14">
        <f t="shared" si="19"/>
        <v>70000</v>
      </c>
      <c r="M118" s="14">
        <f t="shared" si="20"/>
        <v>64.71774193548387</v>
      </c>
    </row>
    <row r="119" spans="1:13" s="1" customFormat="1" ht="24" customHeight="1">
      <c r="A119" s="23" t="s">
        <v>50</v>
      </c>
      <c r="B119" s="13">
        <v>222</v>
      </c>
      <c r="C119" s="13" t="s">
        <v>173</v>
      </c>
      <c r="D119" s="33">
        <v>40000</v>
      </c>
      <c r="E119" s="33">
        <v>40000</v>
      </c>
      <c r="F119" s="14">
        <f>12000+28000</f>
        <v>40000</v>
      </c>
      <c r="G119" s="14"/>
      <c r="H119" s="14"/>
      <c r="I119" s="14">
        <f>12000+28000</f>
        <v>40000</v>
      </c>
      <c r="J119" s="14">
        <f t="shared" si="12"/>
        <v>0</v>
      </c>
      <c r="K119" s="14">
        <f t="shared" si="18"/>
        <v>100</v>
      </c>
      <c r="L119" s="14">
        <f t="shared" si="19"/>
        <v>0</v>
      </c>
      <c r="M119" s="14">
        <f t="shared" si="20"/>
        <v>100</v>
      </c>
    </row>
    <row r="120" spans="1:13" s="1" customFormat="1" ht="24" customHeight="1">
      <c r="A120" s="23" t="s">
        <v>174</v>
      </c>
      <c r="B120" s="13">
        <v>222</v>
      </c>
      <c r="C120" s="13" t="s">
        <v>175</v>
      </c>
      <c r="D120" s="33">
        <v>150000</v>
      </c>
      <c r="E120" s="33">
        <v>150000</v>
      </c>
      <c r="F120" s="14">
        <v>150000</v>
      </c>
      <c r="G120" s="14"/>
      <c r="H120" s="14"/>
      <c r="I120" s="14">
        <v>150000</v>
      </c>
      <c r="J120" s="14">
        <f t="shared" si="12"/>
        <v>0</v>
      </c>
      <c r="K120" s="14">
        <f t="shared" si="18"/>
        <v>100</v>
      </c>
      <c r="L120" s="14">
        <f t="shared" si="19"/>
        <v>0</v>
      </c>
      <c r="M120" s="14">
        <f t="shared" si="20"/>
        <v>100</v>
      </c>
    </row>
    <row r="121" spans="1:13" ht="32.25" customHeight="1">
      <c r="A121" s="34" t="s">
        <v>176</v>
      </c>
      <c r="B121" s="16"/>
      <c r="C121" s="16" t="s">
        <v>26</v>
      </c>
      <c r="D121" s="35" t="s">
        <v>26</v>
      </c>
      <c r="E121" s="35" t="s">
        <v>26</v>
      </c>
      <c r="F121" s="22">
        <v>14598780.14</v>
      </c>
      <c r="G121" s="22" t="s">
        <v>27</v>
      </c>
      <c r="H121" s="22" t="s">
        <v>27</v>
      </c>
      <c r="I121" s="22">
        <v>14598780.14</v>
      </c>
      <c r="J121" s="36"/>
      <c r="K121" s="36"/>
      <c r="L121" s="14"/>
      <c r="M121" s="16" t="s">
        <v>26</v>
      </c>
    </row>
    <row r="122" spans="2:13" ht="11.25" customHeight="1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9" ht="12.75" customHeight="1">
      <c r="A123" s="38" t="s">
        <v>177</v>
      </c>
      <c r="B123" s="38"/>
      <c r="C123" s="38"/>
      <c r="D123" s="38"/>
      <c r="E123" s="38"/>
      <c r="F123" s="38"/>
      <c r="G123" s="38"/>
      <c r="H123" s="38"/>
      <c r="I123" s="38"/>
    </row>
    <row r="125" spans="1:9" ht="39.75" customHeight="1">
      <c r="A125" s="8" t="s">
        <v>178</v>
      </c>
      <c r="B125" s="5" t="s">
        <v>0</v>
      </c>
      <c r="C125" s="5" t="s">
        <v>179</v>
      </c>
      <c r="D125" s="5" t="s">
        <v>2</v>
      </c>
      <c r="E125" s="8" t="s">
        <v>4</v>
      </c>
      <c r="F125" s="8"/>
      <c r="G125" s="8"/>
      <c r="H125" s="8"/>
      <c r="I125" s="5" t="s">
        <v>180</v>
      </c>
    </row>
    <row r="126" spans="1:9" ht="42" customHeight="1">
      <c r="A126" s="8"/>
      <c r="B126" s="5"/>
      <c r="C126" s="5"/>
      <c r="D126" s="5"/>
      <c r="E126" s="5" t="s">
        <v>6</v>
      </c>
      <c r="F126" s="5" t="s">
        <v>7</v>
      </c>
      <c r="G126" s="5" t="s">
        <v>8</v>
      </c>
      <c r="H126" s="5" t="s">
        <v>9</v>
      </c>
      <c r="I126" s="5"/>
    </row>
    <row r="127" spans="1:9" ht="12.75" customHeight="1">
      <c r="A127" s="10" t="s">
        <v>181</v>
      </c>
      <c r="B127" s="10" t="s">
        <v>14</v>
      </c>
      <c r="C127" s="10" t="s">
        <v>15</v>
      </c>
      <c r="D127" s="10" t="s">
        <v>16</v>
      </c>
      <c r="E127" s="10" t="s">
        <v>17</v>
      </c>
      <c r="F127" s="10" t="s">
        <v>18</v>
      </c>
      <c r="G127" s="10" t="s">
        <v>19</v>
      </c>
      <c r="H127" s="10" t="s">
        <v>20</v>
      </c>
      <c r="I127" s="10" t="s">
        <v>21</v>
      </c>
    </row>
    <row r="128" spans="1:9" ht="25.5" customHeight="1">
      <c r="A128" s="24" t="s">
        <v>182</v>
      </c>
      <c r="B128" s="16" t="s">
        <v>183</v>
      </c>
      <c r="C128" s="16" t="s">
        <v>26</v>
      </c>
      <c r="D128" s="39"/>
      <c r="E128" s="35">
        <v>14598780.14</v>
      </c>
      <c r="F128" s="39" t="s">
        <v>27</v>
      </c>
      <c r="G128" s="39" t="s">
        <v>27</v>
      </c>
      <c r="H128" s="35">
        <v>14598780.14</v>
      </c>
      <c r="I128" s="39" t="s">
        <v>27</v>
      </c>
    </row>
    <row r="129" spans="1:9" ht="12" customHeight="1">
      <c r="A129" s="40" t="s">
        <v>28</v>
      </c>
      <c r="B129" s="41"/>
      <c r="C129" s="42"/>
      <c r="D129" s="42"/>
      <c r="E129" s="42"/>
      <c r="F129" s="42"/>
      <c r="G129" s="42"/>
      <c r="H129" s="42"/>
      <c r="I129" s="42"/>
    </row>
    <row r="130" spans="1:9" ht="25.5" customHeight="1">
      <c r="A130" s="25" t="s">
        <v>184</v>
      </c>
      <c r="B130" s="43" t="s">
        <v>185</v>
      </c>
      <c r="C130" s="43" t="s">
        <v>26</v>
      </c>
      <c r="D130" s="44"/>
      <c r="E130" s="45">
        <v>8360000</v>
      </c>
      <c r="F130" s="46"/>
      <c r="G130" s="46" t="s">
        <v>27</v>
      </c>
      <c r="H130" s="45">
        <v>8360000</v>
      </c>
      <c r="I130" s="46" t="s">
        <v>27</v>
      </c>
    </row>
    <row r="131" spans="1:9" ht="12.75" customHeight="1">
      <c r="A131" s="47" t="s">
        <v>186</v>
      </c>
      <c r="B131" s="41"/>
      <c r="C131" s="41"/>
      <c r="D131" s="48"/>
      <c r="E131" s="48"/>
      <c r="F131" s="48"/>
      <c r="G131" s="48"/>
      <c r="H131" s="48"/>
      <c r="I131" s="48"/>
    </row>
    <row r="132" spans="1:9" ht="25.5" customHeight="1">
      <c r="A132" s="24" t="s">
        <v>187</v>
      </c>
      <c r="B132" s="16" t="s">
        <v>188</v>
      </c>
      <c r="C132" s="16" t="s">
        <v>26</v>
      </c>
      <c r="D132" s="39" t="s">
        <v>27</v>
      </c>
      <c r="E132" s="39" t="s">
        <v>27</v>
      </c>
      <c r="F132" s="39" t="s">
        <v>27</v>
      </c>
      <c r="G132" s="39" t="s">
        <v>27</v>
      </c>
      <c r="H132" s="39" t="s">
        <v>27</v>
      </c>
      <c r="I132" s="39" t="s">
        <v>27</v>
      </c>
    </row>
    <row r="133" spans="1:9" ht="12.75" customHeight="1">
      <c r="A133" s="47" t="s">
        <v>186</v>
      </c>
      <c r="B133" s="41"/>
      <c r="C133" s="41"/>
      <c r="D133" s="48"/>
      <c r="E133" s="48"/>
      <c r="F133" s="48"/>
      <c r="G133" s="48"/>
      <c r="H133" s="48"/>
      <c r="I133" s="48"/>
    </row>
    <row r="134" spans="1:9" ht="12.75" customHeight="1">
      <c r="A134" s="24" t="s">
        <v>189</v>
      </c>
      <c r="B134" s="16" t="s">
        <v>190</v>
      </c>
      <c r="C134" s="17"/>
      <c r="D134" s="39" t="s">
        <v>27</v>
      </c>
      <c r="E134" s="35"/>
      <c r="F134" s="39" t="s">
        <v>27</v>
      </c>
      <c r="G134" s="39" t="s">
        <v>27</v>
      </c>
      <c r="H134" s="35">
        <v>7085583.64</v>
      </c>
      <c r="I134" s="39" t="s">
        <v>27</v>
      </c>
    </row>
    <row r="135" spans="1:9" ht="25.5" customHeight="1">
      <c r="A135" s="24" t="s">
        <v>191</v>
      </c>
      <c r="B135" s="16" t="s">
        <v>192</v>
      </c>
      <c r="C135" s="49" t="s">
        <v>26</v>
      </c>
      <c r="D135" s="16" t="s">
        <v>26</v>
      </c>
      <c r="E135" s="39"/>
      <c r="F135" s="39" t="s">
        <v>27</v>
      </c>
      <c r="G135" s="39" t="s">
        <v>27</v>
      </c>
      <c r="H135" s="39" t="s">
        <v>27</v>
      </c>
      <c r="I135" s="16" t="s">
        <v>26</v>
      </c>
    </row>
    <row r="136" spans="1:9" ht="50.25" customHeight="1">
      <c r="A136" s="24" t="s">
        <v>193</v>
      </c>
      <c r="B136" s="43" t="s">
        <v>194</v>
      </c>
      <c r="C136" s="50" t="s">
        <v>26</v>
      </c>
      <c r="D136" s="16" t="s">
        <v>26</v>
      </c>
      <c r="E136" s="22"/>
      <c r="F136" s="39" t="s">
        <v>27</v>
      </c>
      <c r="G136" s="16" t="s">
        <v>26</v>
      </c>
      <c r="H136" s="22"/>
      <c r="I136" s="16" t="s">
        <v>26</v>
      </c>
    </row>
    <row r="137" spans="1:9" ht="12.75" customHeight="1">
      <c r="A137" s="47" t="s">
        <v>186</v>
      </c>
      <c r="B137" s="41"/>
      <c r="C137" s="41"/>
      <c r="D137" s="48"/>
      <c r="E137" s="48"/>
      <c r="F137" s="48"/>
      <c r="G137" s="48"/>
      <c r="H137" s="48"/>
      <c r="I137" s="48"/>
    </row>
    <row r="138" spans="1:9" ht="25.5" customHeight="1">
      <c r="A138" s="25" t="s">
        <v>195</v>
      </c>
      <c r="B138" s="43" t="s">
        <v>196</v>
      </c>
      <c r="C138" s="51" t="s">
        <v>26</v>
      </c>
      <c r="D138" s="43" t="s">
        <v>26</v>
      </c>
      <c r="E138" s="46" t="s">
        <v>27</v>
      </c>
      <c r="F138" s="43" t="s">
        <v>26</v>
      </c>
      <c r="G138" s="43" t="s">
        <v>26</v>
      </c>
      <c r="H138" s="46" t="s">
        <v>27</v>
      </c>
      <c r="I138" s="43" t="s">
        <v>26</v>
      </c>
    </row>
    <row r="139" spans="1:9" ht="22.5" customHeight="1">
      <c r="A139" s="24" t="s">
        <v>197</v>
      </c>
      <c r="B139" s="43" t="s">
        <v>198</v>
      </c>
      <c r="C139" s="49" t="s">
        <v>26</v>
      </c>
      <c r="D139" s="16" t="s">
        <v>26</v>
      </c>
      <c r="E139" s="39" t="s">
        <v>27</v>
      </c>
      <c r="F139" s="39" t="s">
        <v>27</v>
      </c>
      <c r="G139" s="16" t="s">
        <v>26</v>
      </c>
      <c r="H139" s="39" t="s">
        <v>27</v>
      </c>
      <c r="I139" s="16" t="s">
        <v>26</v>
      </c>
    </row>
    <row r="140" spans="1:9" ht="25.5" customHeight="1">
      <c r="A140" s="24" t="s">
        <v>199</v>
      </c>
      <c r="B140" s="43" t="s">
        <v>200</v>
      </c>
      <c r="C140" s="50" t="s">
        <v>26</v>
      </c>
      <c r="D140" s="16" t="s">
        <v>26</v>
      </c>
      <c r="E140" s="16" t="s">
        <v>26</v>
      </c>
      <c r="F140" s="39" t="s">
        <v>27</v>
      </c>
      <c r="G140" s="39" t="s">
        <v>27</v>
      </c>
      <c r="H140" s="16" t="s">
        <v>26</v>
      </c>
      <c r="I140" s="16" t="s">
        <v>26</v>
      </c>
    </row>
    <row r="141" spans="1:9" ht="12" customHeight="1">
      <c r="A141" s="47" t="s">
        <v>201</v>
      </c>
      <c r="B141" s="41"/>
      <c r="C141" s="41"/>
      <c r="D141" s="48"/>
      <c r="E141" s="48"/>
      <c r="F141" s="48"/>
      <c r="G141" s="48"/>
      <c r="H141" s="48"/>
      <c r="I141" s="48"/>
    </row>
    <row r="142" spans="1:9" ht="30" customHeight="1">
      <c r="A142" s="25" t="s">
        <v>202</v>
      </c>
      <c r="B142" s="43" t="s">
        <v>203</v>
      </c>
      <c r="C142" s="51" t="s">
        <v>26</v>
      </c>
      <c r="D142" s="43" t="s">
        <v>26</v>
      </c>
      <c r="E142" s="45"/>
      <c r="F142" s="46" t="s">
        <v>27</v>
      </c>
      <c r="G142" s="46" t="s">
        <v>27</v>
      </c>
      <c r="H142" s="45"/>
      <c r="I142" s="43" t="s">
        <v>26</v>
      </c>
    </row>
    <row r="143" spans="1:9" ht="24.75" customHeight="1">
      <c r="A143" s="24" t="s">
        <v>204</v>
      </c>
      <c r="B143" s="43" t="s">
        <v>205</v>
      </c>
      <c r="C143" s="16" t="s">
        <v>26</v>
      </c>
      <c r="D143" s="16" t="s">
        <v>26</v>
      </c>
      <c r="E143" s="35"/>
      <c r="F143" s="39" t="s">
        <v>27</v>
      </c>
      <c r="G143" s="39" t="s">
        <v>27</v>
      </c>
      <c r="H143" s="35"/>
      <c r="I143" s="16" t="s">
        <v>26</v>
      </c>
    </row>
    <row r="144" spans="1:5" ht="18" customHeight="1">
      <c r="A144" s="15" t="s">
        <v>206</v>
      </c>
      <c r="C144" s="1" t="s">
        <v>207</v>
      </c>
      <c r="D144" s="1" t="s">
        <v>208</v>
      </c>
      <c r="E144" s="15"/>
    </row>
    <row r="145" spans="1:5" ht="15" customHeight="1">
      <c r="A145" s="15" t="s">
        <v>209</v>
      </c>
      <c r="D145" s="52" t="s">
        <v>210</v>
      </c>
      <c r="E145" s="52"/>
    </row>
  </sheetData>
  <sheetProtection selectLockedCells="1" selectUnlockedCells="1"/>
  <mergeCells count="6">
    <mergeCell ref="A1:M1"/>
    <mergeCell ref="F2:I2"/>
    <mergeCell ref="J2:M2"/>
    <mergeCell ref="A123:I123"/>
    <mergeCell ref="E125:H125"/>
    <mergeCell ref="D145:E145"/>
  </mergeCells>
  <printOptions/>
  <pageMargins left="0.75" right="0.75" top="0.7201388888888889" bottom="0.5201388888888889" header="0.5" footer="0.5118055555555555"/>
  <pageSetup horizontalDpi="300" verticalDpi="300" orientation="landscape" paperSize="9" scale="72"/>
  <headerFooter alignWithMargins="0">
    <oddHeader xml:space="preserve">&amp;RФорма 0503127 с.#P    </oddHeader>
  </headerFooter>
  <rowBreaks count="3" manualBreakCount="3">
    <brk id="36" max="255" man="1"/>
    <brk id="63" max="255" man="1"/>
    <brk id="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2017-04-03T08:03:58Z</cp:lastPrinted>
  <dcterms:modified xsi:type="dcterms:W3CDTF">2017-04-03T08:06:24Z</dcterms:modified>
  <cp:category/>
  <cp:version/>
  <cp:contentType/>
  <cp:contentStatus/>
  <cp:revision>2</cp:revision>
</cp:coreProperties>
</file>