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130" yWindow="-60" windowWidth="9195" windowHeight="9765" tabRatio="670"/>
  </bookViews>
  <sheets>
    <sheet name="ВОДА 2016-2018" sheetId="1" r:id="rId1"/>
    <sheet name="СТОКИ 2016-2018" sheetId="10" r:id="rId2"/>
    <sheet name="Аренда" sheetId="14" r:id="rId3"/>
    <sheet name="Элэн" sheetId="3" r:id="rId4"/>
    <sheet name="амортизация" sheetId="5" r:id="rId5"/>
    <sheet name="тр-ный налог" sheetId="7" r:id="rId6"/>
    <sheet name="ФОТ" sheetId="8" r:id="rId7"/>
    <sheet name="АВР, ремонт" sheetId="9" r:id="rId8"/>
    <sheet name="Цеховые" sheetId="11" r:id="rId9"/>
    <sheet name="Прочие прямые" sheetId="12" r:id="rId10"/>
    <sheet name="ОХР" sheetId="13" r:id="rId11"/>
    <sheet name="Лист1" sheetId="15" r:id="rId12"/>
  </sheets>
  <definedNames>
    <definedName name="_IV70000">#REF!</definedName>
    <definedName name="_IV80000">#REF!</definedName>
    <definedName name="_IV99999">#REF!</definedName>
    <definedName name="_xlnm.Print_Titles" localSheetId="0">'ВОДА 2016-2018'!$4:$5</definedName>
    <definedName name="_xlnm.Print_Titles" localSheetId="1">'СТОКИ 2016-2018'!$7:$8</definedName>
  </definedNames>
  <calcPr calcId="125725"/>
</workbook>
</file>

<file path=xl/calcChain.xml><?xml version="1.0" encoding="utf-8"?>
<calcChain xmlns="http://schemas.openxmlformats.org/spreadsheetml/2006/main">
  <c r="AJ24" i="10"/>
  <c r="AI98" i="1"/>
  <c r="AL80"/>
  <c r="AI80" s="1"/>
  <c r="AI79"/>
  <c r="C12" i="15"/>
  <c r="E7"/>
  <c r="F7" s="1"/>
  <c r="E8"/>
  <c r="F8" s="1"/>
  <c r="E9"/>
  <c r="F9" s="1"/>
  <c r="E10"/>
  <c r="F10" s="1"/>
  <c r="E11"/>
  <c r="F11" s="1"/>
  <c r="E6"/>
  <c r="E12" s="1"/>
  <c r="AI87" i="1" s="1"/>
  <c r="AJ87" s="1"/>
  <c r="AI93" i="10"/>
  <c r="S90"/>
  <c r="F6" i="15" l="1"/>
  <c r="F12" s="1"/>
  <c r="AL87" i="1"/>
  <c r="T87"/>
  <c r="AL83" i="10" l="1"/>
  <c r="AH8" i="1" l="1"/>
  <c r="AJ72" i="10"/>
  <c r="AK72"/>
  <c r="AI31"/>
  <c r="AK31"/>
  <c r="AA23"/>
  <c r="AA57"/>
  <c r="AA58"/>
  <c r="AA54" s="1"/>
  <c r="AA48"/>
  <c r="AA41"/>
  <c r="AA37" s="1"/>
  <c r="AA34"/>
  <c r="V30"/>
  <c r="AK55" i="1"/>
  <c r="AH23" i="10"/>
  <c r="AH21" s="1"/>
  <c r="AJ74" i="1" l="1"/>
  <c r="AJ70"/>
  <c r="AI9"/>
  <c r="D18" i="14"/>
  <c r="D19"/>
  <c r="AI83" i="1" s="1"/>
  <c r="AJ83" s="1"/>
  <c r="D6" i="14"/>
  <c r="D7" s="1"/>
  <c r="AI82" i="1" s="1"/>
  <c r="D3" i="14"/>
  <c r="AJ84" i="10"/>
  <c r="AK84" s="1"/>
  <c r="AJ83"/>
  <c r="AK83" s="1"/>
  <c r="AJ79"/>
  <c r="AK79" s="1"/>
  <c r="AJ78"/>
  <c r="AK78" s="1"/>
  <c r="AJ88" i="1"/>
  <c r="AL88" s="1"/>
  <c r="AJ81"/>
  <c r="AL81" s="1"/>
  <c r="AK74"/>
  <c r="AK70"/>
  <c r="AK24"/>
  <c r="AJ16"/>
  <c r="AL16" s="1"/>
  <c r="AJ18"/>
  <c r="AL18" s="1"/>
  <c r="AE72" i="10"/>
  <c r="AJ82" i="1" l="1"/>
  <c r="AL82" s="1"/>
  <c r="AL83"/>
  <c r="AL74"/>
  <c r="AL70"/>
  <c r="AJ18" i="10"/>
  <c r="AK18" s="1"/>
  <c r="AJ16"/>
  <c r="AK16" s="1"/>
  <c r="Y79" l="1"/>
  <c r="R23"/>
  <c r="R75"/>
  <c r="R90" s="1"/>
  <c r="R12"/>
  <c r="M23"/>
  <c r="M90" s="1"/>
  <c r="M94" s="1"/>
  <c r="M12"/>
  <c r="AJ14" l="1"/>
  <c r="AK14" s="1"/>
  <c r="M95"/>
  <c r="Z72" l="1"/>
  <c r="Y80" i="1"/>
  <c r="AB71"/>
  <c r="Y76"/>
  <c r="O69" i="10"/>
  <c r="Q69" s="1"/>
  <c r="V69" s="1"/>
  <c r="M73"/>
  <c r="M72" s="1"/>
  <c r="AB72"/>
  <c r="Z74" i="1"/>
  <c r="Z73" s="1"/>
  <c r="Z71"/>
  <c r="AB74" l="1"/>
  <c r="AB73" s="1"/>
  <c r="Y73" s="1"/>
  <c r="Y74" s="1"/>
  <c r="AE73" i="10"/>
  <c r="AA24" i="1"/>
  <c r="AB107" i="10"/>
  <c r="AB110" s="1"/>
  <c r="AA107"/>
  <c r="AA110" s="1"/>
  <c r="Z107"/>
  <c r="Z108" s="1"/>
  <c r="AF23"/>
  <c r="AB76" i="1"/>
  <c r="Z76"/>
  <c r="Z80"/>
  <c r="Z79"/>
  <c r="AB79" s="1"/>
  <c r="Y71"/>
  <c r="Y67" s="1"/>
  <c r="Y68" s="1"/>
  <c r="L67"/>
  <c r="Z70"/>
  <c r="Z69" s="1"/>
  <c r="M71"/>
  <c r="M69" s="1"/>
  <c r="M66" s="1"/>
  <c r="M65" s="1"/>
  <c r="L66"/>
  <c r="AB70" l="1"/>
  <c r="AB69" s="1"/>
  <c r="Y69" s="1"/>
  <c r="AG73" i="10"/>
  <c r="AD73" s="1"/>
  <c r="AA108"/>
  <c r="AB108"/>
  <c r="Z77" i="1"/>
  <c r="AB65" l="1"/>
  <c r="Z65"/>
  <c r="L74"/>
  <c r="L70"/>
  <c r="L10"/>
  <c r="L76" l="1"/>
  <c r="L72"/>
  <c r="Y65"/>
  <c r="L11"/>
  <c r="L12" s="1"/>
  <c r="O70"/>
  <c r="O71"/>
  <c r="Q71" l="1"/>
  <c r="V71" s="1"/>
  <c r="X71" s="1"/>
  <c r="O67"/>
  <c r="Q70"/>
  <c r="V70" s="1"/>
  <c r="X70" s="1"/>
  <c r="O69"/>
  <c r="U71" l="1"/>
  <c r="X69"/>
  <c r="Q69"/>
  <c r="N69" s="1"/>
  <c r="O66"/>
  <c r="V69"/>
  <c r="N71"/>
  <c r="AB80"/>
  <c r="AB77" s="1"/>
  <c r="AB112"/>
  <c r="AB115" s="1"/>
  <c r="AA112"/>
  <c r="AA115" s="1"/>
  <c r="Z112"/>
  <c r="Z113" s="1"/>
  <c r="I19"/>
  <c r="J19" s="1"/>
  <c r="N8"/>
  <c r="O8" s="1"/>
  <c r="M8"/>
  <c r="H68"/>
  <c r="N53" i="10"/>
  <c r="O53" s="1"/>
  <c r="Q53" s="1"/>
  <c r="Z53" s="1"/>
  <c r="AB53" s="1"/>
  <c r="O44"/>
  <c r="Q44" s="1"/>
  <c r="O43"/>
  <c r="N43"/>
  <c r="O63"/>
  <c r="Q63" s="1"/>
  <c r="Z63" s="1"/>
  <c r="AB63" s="1"/>
  <c r="L57"/>
  <c r="L55" s="1"/>
  <c r="L58" s="1"/>
  <c r="L53"/>
  <c r="M54" i="1"/>
  <c r="M64"/>
  <c r="O64"/>
  <c r="Q64" s="1"/>
  <c r="Z64" s="1"/>
  <c r="AB64" s="1"/>
  <c r="N54"/>
  <c r="O54" s="1"/>
  <c r="Q54" s="1"/>
  <c r="Z54" s="1"/>
  <c r="AB54" s="1"/>
  <c r="M58"/>
  <c r="M56" s="1"/>
  <c r="M59" s="1"/>
  <c r="M51" i="8"/>
  <c r="L51"/>
  <c r="G51"/>
  <c r="M47"/>
  <c r="M46"/>
  <c r="L47"/>
  <c r="L46"/>
  <c r="D48"/>
  <c r="D33"/>
  <c r="N29"/>
  <c r="T29" s="1"/>
  <c r="V29" s="1"/>
  <c r="V33" s="1"/>
  <c r="M41"/>
  <c r="L42"/>
  <c r="L41"/>
  <c r="G42"/>
  <c r="G41"/>
  <c r="G36"/>
  <c r="L37"/>
  <c r="T37" s="1"/>
  <c r="V37" s="1"/>
  <c r="C83" s="1"/>
  <c r="L36"/>
  <c r="D43"/>
  <c r="N7"/>
  <c r="T7" s="1"/>
  <c r="V7" s="1"/>
  <c r="N6"/>
  <c r="T6" s="1"/>
  <c r="V6" s="1"/>
  <c r="N5"/>
  <c r="T5" s="1"/>
  <c r="V5" s="1"/>
  <c r="N4"/>
  <c r="T4" s="1"/>
  <c r="V4" s="1"/>
  <c r="F83"/>
  <c r="F82"/>
  <c r="L40" i="10"/>
  <c r="L32"/>
  <c r="M41" i="1"/>
  <c r="M33"/>
  <c r="M40"/>
  <c r="O36" i="10"/>
  <c r="Q36" s="1"/>
  <c r="Z36" s="1"/>
  <c r="AB36" s="1"/>
  <c r="O32"/>
  <c r="Q32" s="1"/>
  <c r="O40"/>
  <c r="O35"/>
  <c r="Q35" s="1"/>
  <c r="O70"/>
  <c r="Q70" s="1"/>
  <c r="Q66" s="1"/>
  <c r="N39"/>
  <c r="Q39"/>
  <c r="O39"/>
  <c r="L44"/>
  <c r="L43"/>
  <c r="L42"/>
  <c r="N31"/>
  <c r="L77"/>
  <c r="O77" s="1"/>
  <c r="Q77" s="1"/>
  <c r="L70"/>
  <c r="L66" s="1"/>
  <c r="L39"/>
  <c r="L31"/>
  <c r="Q31" s="1"/>
  <c r="L19"/>
  <c r="N19" s="1"/>
  <c r="O19" s="1"/>
  <c r="Q19" s="1"/>
  <c r="V19" s="1"/>
  <c r="L18"/>
  <c r="N18" s="1"/>
  <c r="O18" s="1"/>
  <c r="Q18" s="1"/>
  <c r="V18" s="1"/>
  <c r="L16"/>
  <c r="N16" s="1"/>
  <c r="O16" s="1"/>
  <c r="Q16" s="1"/>
  <c r="V16" s="1"/>
  <c r="L14"/>
  <c r="N14" s="1"/>
  <c r="O14" s="1"/>
  <c r="Q14" s="1"/>
  <c r="V14" s="1"/>
  <c r="L12"/>
  <c r="N12" s="1"/>
  <c r="O12" s="1"/>
  <c r="L11"/>
  <c r="N11" s="1"/>
  <c r="O11" s="1"/>
  <c r="Q11" s="1"/>
  <c r="V11" s="1"/>
  <c r="L10"/>
  <c r="N10" s="1"/>
  <c r="O10" s="1"/>
  <c r="Q10" s="1"/>
  <c r="V10" s="1"/>
  <c r="J23"/>
  <c r="J75"/>
  <c r="I23"/>
  <c r="I75"/>
  <c r="H23"/>
  <c r="H75"/>
  <c r="H67"/>
  <c r="I19"/>
  <c r="J19" s="1"/>
  <c r="I18"/>
  <c r="J18" s="1"/>
  <c r="I16"/>
  <c r="J16" s="1"/>
  <c r="I14"/>
  <c r="J14" s="1"/>
  <c r="I12"/>
  <c r="J12" s="1"/>
  <c r="I11"/>
  <c r="J11" s="1"/>
  <c r="I10"/>
  <c r="J10" s="1"/>
  <c r="P56" i="1"/>
  <c r="P50" s="1"/>
  <c r="M44"/>
  <c r="I45"/>
  <c r="J45" s="1"/>
  <c r="O45" s="1"/>
  <c r="I44"/>
  <c r="J44" s="1"/>
  <c r="O44" s="1"/>
  <c r="N40"/>
  <c r="O41"/>
  <c r="Q41" s="1"/>
  <c r="O40"/>
  <c r="O36"/>
  <c r="O37"/>
  <c r="N32"/>
  <c r="O33"/>
  <c r="Q33" s="1"/>
  <c r="O32"/>
  <c r="Q32" s="1"/>
  <c r="N19"/>
  <c r="O19" s="1"/>
  <c r="N17"/>
  <c r="O17" s="1"/>
  <c r="N15"/>
  <c r="N13"/>
  <c r="N11"/>
  <c r="O11" s="1"/>
  <c r="Q11" s="1"/>
  <c r="V11" s="1"/>
  <c r="N10"/>
  <c r="N9"/>
  <c r="O9" s="1"/>
  <c r="Q9" s="1"/>
  <c r="V9" s="1"/>
  <c r="N7"/>
  <c r="M77"/>
  <c r="I68"/>
  <c r="J68"/>
  <c r="K68"/>
  <c r="M67"/>
  <c r="M43"/>
  <c r="M37"/>
  <c r="M32"/>
  <c r="M19"/>
  <c r="M17"/>
  <c r="M15"/>
  <c r="M13"/>
  <c r="M11"/>
  <c r="M10"/>
  <c r="M9"/>
  <c r="M7"/>
  <c r="J24"/>
  <c r="J77"/>
  <c r="J12"/>
  <c r="I24"/>
  <c r="I77"/>
  <c r="I12"/>
  <c r="H24"/>
  <c r="H77"/>
  <c r="H12"/>
  <c r="E15" i="9"/>
  <c r="E10"/>
  <c r="E18" s="1"/>
  <c r="E14"/>
  <c r="E12"/>
  <c r="E11"/>
  <c r="D34" i="11"/>
  <c r="D37" s="1"/>
  <c r="K23"/>
  <c r="C18" i="13"/>
  <c r="C20" s="1"/>
  <c r="F7" i="7"/>
  <c r="F6"/>
  <c r="C8" i="12"/>
  <c r="D19" i="11"/>
  <c r="E19" s="1"/>
  <c r="D18"/>
  <c r="E18" s="1"/>
  <c r="D17"/>
  <c r="E17" s="1"/>
  <c r="D15"/>
  <c r="E15" s="1"/>
  <c r="D14"/>
  <c r="E14" s="1"/>
  <c r="D12"/>
  <c r="E12" s="1"/>
  <c r="D11"/>
  <c r="E11" s="1"/>
  <c r="D9"/>
  <c r="E9" s="1"/>
  <c r="G23" i="5"/>
  <c r="G25" s="1"/>
  <c r="G17"/>
  <c r="H15"/>
  <c r="H14"/>
  <c r="H13"/>
  <c r="H12"/>
  <c r="H11"/>
  <c r="H10"/>
  <c r="D26" i="8"/>
  <c r="D38"/>
  <c r="O15" i="1"/>
  <c r="O16"/>
  <c r="O18"/>
  <c r="C8" i="3"/>
  <c r="C10"/>
  <c r="C12"/>
  <c r="C14"/>
  <c r="C16"/>
  <c r="C18"/>
  <c r="C20"/>
  <c r="C22"/>
  <c r="C24"/>
  <c r="C26"/>
  <c r="C28"/>
  <c r="C30"/>
  <c r="P55" i="10"/>
  <c r="P49" s="1"/>
  <c r="P36"/>
  <c r="Y36" l="1"/>
  <c r="AJ36"/>
  <c r="Y63"/>
  <c r="AJ63"/>
  <c r="AK63" s="1"/>
  <c r="AI63" s="1"/>
  <c r="Y53"/>
  <c r="AJ53"/>
  <c r="AK53" s="1"/>
  <c r="AI53" s="1"/>
  <c r="Y54" i="1"/>
  <c r="AJ54"/>
  <c r="AL54" s="1"/>
  <c r="AI54" s="1"/>
  <c r="Y64"/>
  <c r="AJ64"/>
  <c r="AL64" s="1"/>
  <c r="AI64" s="1"/>
  <c r="N35" i="10"/>
  <c r="Z35"/>
  <c r="AB35" s="1"/>
  <c r="N44"/>
  <c r="Z44"/>
  <c r="AB44" s="1"/>
  <c r="U69" i="1"/>
  <c r="U70" s="1"/>
  <c r="L38" i="10"/>
  <c r="L41" s="1"/>
  <c r="N70" i="1"/>
  <c r="T51" i="8"/>
  <c r="V51" s="1"/>
  <c r="V52" s="1"/>
  <c r="V73" s="1"/>
  <c r="T41"/>
  <c r="V41" s="1"/>
  <c r="T46"/>
  <c r="V46" s="1"/>
  <c r="C21" i="13"/>
  <c r="M12" i="1"/>
  <c r="O31" i="10"/>
  <c r="O30" s="1"/>
  <c r="O34" s="1"/>
  <c r="L30"/>
  <c r="L34" s="1"/>
  <c r="Y77" i="1"/>
  <c r="Q40"/>
  <c r="L75" i="10"/>
  <c r="L68"/>
  <c r="L65" s="1"/>
  <c r="L64" s="1"/>
  <c r="T36" i="8"/>
  <c r="V36" s="1"/>
  <c r="C82" s="1"/>
  <c r="T42"/>
  <c r="V42" s="1"/>
  <c r="T47"/>
  <c r="V47" s="1"/>
  <c r="O79" i="1"/>
  <c r="Q79" s="1"/>
  <c r="L67" i="10"/>
  <c r="C33" i="3"/>
  <c r="D16" i="11"/>
  <c r="E16" s="1"/>
  <c r="O31" i="1"/>
  <c r="O35" s="1"/>
  <c r="I21" i="10"/>
  <c r="I90" s="1"/>
  <c r="I94" s="1"/>
  <c r="I95" s="1"/>
  <c r="O38"/>
  <c r="O41" s="1"/>
  <c r="AA113" i="1"/>
  <c r="AB113"/>
  <c r="D73" i="8"/>
  <c r="Q68" i="10"/>
  <c r="Q65" s="1"/>
  <c r="X11"/>
  <c r="AE11" s="1"/>
  <c r="O66"/>
  <c r="E21" i="11"/>
  <c r="D13"/>
  <c r="E13" s="1"/>
  <c r="N70" i="10"/>
  <c r="V26" i="8"/>
  <c r="Q30" i="10"/>
  <c r="O68"/>
  <c r="O75"/>
  <c r="M39" i="1"/>
  <c r="M42" s="1"/>
  <c r="N63" i="10"/>
  <c r="E17" i="9"/>
  <c r="M68" i="1"/>
  <c r="O39"/>
  <c r="Q75" i="10"/>
  <c r="J22" i="1"/>
  <c r="J94" s="1"/>
  <c r="J99" s="1"/>
  <c r="J100" s="1"/>
  <c r="O100" s="1"/>
  <c r="Q36"/>
  <c r="Q8"/>
  <c r="V8" s="1"/>
  <c r="X9"/>
  <c r="AE9" s="1"/>
  <c r="O43"/>
  <c r="Q44"/>
  <c r="Z44" s="1"/>
  <c r="AB44" s="1"/>
  <c r="AJ44" s="1"/>
  <c r="AL44" s="1"/>
  <c r="AI44" s="1"/>
  <c r="Q45"/>
  <c r="I22"/>
  <c r="I94" s="1"/>
  <c r="I99" s="1"/>
  <c r="I100" s="1"/>
  <c r="Q37"/>
  <c r="M31"/>
  <c r="M35" s="1"/>
  <c r="V38" i="8"/>
  <c r="H22" i="1"/>
  <c r="H94" s="1"/>
  <c r="H99" s="1"/>
  <c r="H100" s="1"/>
  <c r="N36" i="10"/>
  <c r="Q40"/>
  <c r="Q38" s="1"/>
  <c r="J21"/>
  <c r="J90" s="1"/>
  <c r="J94" s="1"/>
  <c r="J95" s="1"/>
  <c r="H21"/>
  <c r="H90" s="1"/>
  <c r="H94" s="1"/>
  <c r="H95" s="1"/>
  <c r="O13" i="1"/>
  <c r="X11"/>
  <c r="AE11" s="1"/>
  <c r="D10" i="11"/>
  <c r="E10" s="1"/>
  <c r="F9" i="7"/>
  <c r="V83" i="10"/>
  <c r="X83" s="1"/>
  <c r="AE83" s="1"/>
  <c r="Q31" i="1"/>
  <c r="Z31" s="1"/>
  <c r="Q87"/>
  <c r="X18" i="10"/>
  <c r="AE18" s="1"/>
  <c r="X16"/>
  <c r="AE16" s="1"/>
  <c r="X14"/>
  <c r="AE14" s="1"/>
  <c r="X10"/>
  <c r="AE10" s="1"/>
  <c r="X107"/>
  <c r="X110" s="1"/>
  <c r="W107"/>
  <c r="W110" s="1"/>
  <c r="V107"/>
  <c r="V108" s="1"/>
  <c r="P63"/>
  <c r="P53" s="1"/>
  <c r="P59"/>
  <c r="W23"/>
  <c r="X19"/>
  <c r="AE19" s="1"/>
  <c r="Q95" l="1"/>
  <c r="O95"/>
  <c r="Y44"/>
  <c r="AJ44"/>
  <c r="Y35"/>
  <c r="AJ35"/>
  <c r="AK36"/>
  <c r="AI36" s="1"/>
  <c r="AB31" i="1"/>
  <c r="N37"/>
  <c r="Z37"/>
  <c r="AB37" s="1"/>
  <c r="N45"/>
  <c r="Z45"/>
  <c r="AB45" s="1"/>
  <c r="AJ45" s="1"/>
  <c r="AL45" s="1"/>
  <c r="AI45" s="1"/>
  <c r="N36"/>
  <c r="Z36"/>
  <c r="AB36" s="1"/>
  <c r="Q41" i="10"/>
  <c r="Z38"/>
  <c r="Q34"/>
  <c r="Z30"/>
  <c r="N34"/>
  <c r="V48" i="8"/>
  <c r="U73" s="1"/>
  <c r="L23" i="10"/>
  <c r="V43" i="8"/>
  <c r="L21" i="10"/>
  <c r="L90" s="1"/>
  <c r="L94" s="1"/>
  <c r="L95" s="1"/>
  <c r="L96" s="1"/>
  <c r="O65"/>
  <c r="O64" s="1"/>
  <c r="N68"/>
  <c r="N69" s="1"/>
  <c r="N75"/>
  <c r="T75" s="1"/>
  <c r="AG19"/>
  <c r="AD19" s="1"/>
  <c r="AG10"/>
  <c r="AD10" s="1"/>
  <c r="AM10" s="1"/>
  <c r="AG14"/>
  <c r="AD14" s="1"/>
  <c r="AG16"/>
  <c r="AD16" s="1"/>
  <c r="AG18"/>
  <c r="AD18" s="1"/>
  <c r="AE76"/>
  <c r="AG76" s="1"/>
  <c r="AG83"/>
  <c r="AD83" s="1"/>
  <c r="AG11"/>
  <c r="AD11" s="1"/>
  <c r="Q100" i="1"/>
  <c r="V100" s="1"/>
  <c r="O101"/>
  <c r="N77" i="10"/>
  <c r="E22" i="11"/>
  <c r="E23" s="1"/>
  <c r="U9" i="1"/>
  <c r="U11" i="10"/>
  <c r="Y11" s="1"/>
  <c r="Z11" s="1"/>
  <c r="AB11" s="1"/>
  <c r="U19"/>
  <c r="Y19" s="1"/>
  <c r="G9" i="7"/>
  <c r="G8"/>
  <c r="N66" i="10"/>
  <c r="N67" s="1"/>
  <c r="O67"/>
  <c r="M24" i="1"/>
  <c r="M22" s="1"/>
  <c r="M94" s="1"/>
  <c r="M99" s="1"/>
  <c r="M100" s="1"/>
  <c r="M101" s="1"/>
  <c r="X8"/>
  <c r="AE8" s="1"/>
  <c r="AG9"/>
  <c r="AD9" s="1"/>
  <c r="N44"/>
  <c r="Q43"/>
  <c r="O99"/>
  <c r="Q35"/>
  <c r="N31"/>
  <c r="N33" s="1"/>
  <c r="N30" i="10"/>
  <c r="N41"/>
  <c r="T41" s="1"/>
  <c r="N38"/>
  <c r="Q64"/>
  <c r="O80" i="1"/>
  <c r="N12"/>
  <c r="O7"/>
  <c r="O10"/>
  <c r="AG11"/>
  <c r="AD11" s="1"/>
  <c r="U11"/>
  <c r="Q39"/>
  <c r="Z39" s="1"/>
  <c r="O42"/>
  <c r="Q12" i="10"/>
  <c r="Q67" s="1"/>
  <c r="U18"/>
  <c r="Y18" s="1"/>
  <c r="U16"/>
  <c r="Y16" s="1"/>
  <c r="U14"/>
  <c r="Y14" s="1"/>
  <c r="Z14" s="1"/>
  <c r="AB14" s="1"/>
  <c r="U10"/>
  <c r="Y10" s="1"/>
  <c r="Z10" s="1"/>
  <c r="AG72"/>
  <c r="U83"/>
  <c r="W108"/>
  <c r="X108"/>
  <c r="AK35" l="1"/>
  <c r="AI35"/>
  <c r="AK44"/>
  <c r="AI44"/>
  <c r="AB39" i="1"/>
  <c r="N35"/>
  <c r="Z35"/>
  <c r="N43"/>
  <c r="Z43"/>
  <c r="AB43" s="1"/>
  <c r="Y36"/>
  <c r="AJ36"/>
  <c r="Y37"/>
  <c r="AJ37"/>
  <c r="AJ31"/>
  <c r="AB33"/>
  <c r="Y31"/>
  <c r="N32" i="10"/>
  <c r="T30"/>
  <c r="N40"/>
  <c r="T38"/>
  <c r="AB30"/>
  <c r="AJ30" s="1"/>
  <c r="Z34"/>
  <c r="Z28" s="1"/>
  <c r="AB38"/>
  <c r="AJ38" s="1"/>
  <c r="Z40"/>
  <c r="Z41"/>
  <c r="AJ9" i="1"/>
  <c r="AL9" s="1"/>
  <c r="N64" i="10"/>
  <c r="T64" s="1"/>
  <c r="Z18"/>
  <c r="AB18" s="1"/>
  <c r="Z16"/>
  <c r="AB16" s="1"/>
  <c r="AB10"/>
  <c r="AB73" s="1"/>
  <c r="Z73"/>
  <c r="C73" i="8"/>
  <c r="B73" s="1"/>
  <c r="L73" s="1"/>
  <c r="Z19" i="10"/>
  <c r="AB19" s="1"/>
  <c r="N65"/>
  <c r="X100" i="1"/>
  <c r="T73" i="8"/>
  <c r="Y73" s="1"/>
  <c r="AG8" i="1"/>
  <c r="AD8" s="1"/>
  <c r="U8"/>
  <c r="O77"/>
  <c r="Q42"/>
  <c r="N39"/>
  <c r="N41" s="1"/>
  <c r="O12"/>
  <c r="V12" i="10"/>
  <c r="X69"/>
  <c r="AE69" s="1"/>
  <c r="V76"/>
  <c r="P64" i="1"/>
  <c r="P54" s="1"/>
  <c r="P37"/>
  <c r="N42" l="1"/>
  <c r="Z42"/>
  <c r="AJ33"/>
  <c r="AL31"/>
  <c r="AL37"/>
  <c r="AI37" s="1"/>
  <c r="AL36"/>
  <c r="AI36" s="1"/>
  <c r="Y43"/>
  <c r="AJ43"/>
  <c r="AL43" s="1"/>
  <c r="AI43" s="1"/>
  <c r="AB35"/>
  <c r="Z29"/>
  <c r="Y39"/>
  <c r="AJ39"/>
  <c r="AB41"/>
  <c r="AJ32" i="10"/>
  <c r="AK30"/>
  <c r="AI30"/>
  <c r="AJ41"/>
  <c r="AJ40"/>
  <c r="AK38"/>
  <c r="Y38"/>
  <c r="Y40" s="1"/>
  <c r="AB41"/>
  <c r="AB40"/>
  <c r="Y30"/>
  <c r="AB34"/>
  <c r="AB32"/>
  <c r="AB28"/>
  <c r="AB71"/>
  <c r="AB64"/>
  <c r="Z71"/>
  <c r="Z64"/>
  <c r="Y73"/>
  <c r="AG69"/>
  <c r="X73" i="8"/>
  <c r="C86" s="1"/>
  <c r="O50" i="1" s="1"/>
  <c r="F78" i="8"/>
  <c r="D36" i="11"/>
  <c r="K24"/>
  <c r="I10" i="9"/>
  <c r="C78" i="8"/>
  <c r="O56" i="1" s="1"/>
  <c r="E24" i="11"/>
  <c r="C87" i="8"/>
  <c r="O49" i="10" s="1"/>
  <c r="F87" i="8"/>
  <c r="I73"/>
  <c r="M73"/>
  <c r="H73"/>
  <c r="O65" i="1"/>
  <c r="X12" i="10"/>
  <c r="AE12" s="1"/>
  <c r="V77"/>
  <c r="V75" s="1"/>
  <c r="X76"/>
  <c r="F86" i="8" l="1"/>
  <c r="AL39" i="1"/>
  <c r="AJ41"/>
  <c r="AI39"/>
  <c r="Y35"/>
  <c r="AJ35"/>
  <c r="AB29"/>
  <c r="AL33"/>
  <c r="AB42"/>
  <c r="Z38"/>
  <c r="Y29"/>
  <c r="AI31"/>
  <c r="Y34" i="10"/>
  <c r="Y28" s="1"/>
  <c r="AJ34"/>
  <c r="AI32"/>
  <c r="AK32"/>
  <c r="AK41"/>
  <c r="AK40"/>
  <c r="AI38"/>
  <c r="Y41"/>
  <c r="Y71"/>
  <c r="Y64"/>
  <c r="J5" i="11"/>
  <c r="AG12" i="10"/>
  <c r="AG95" s="1"/>
  <c r="F79" i="8"/>
  <c r="I11" i="9"/>
  <c r="K25" i="11"/>
  <c r="C79" i="8"/>
  <c r="O55" i="10" s="1"/>
  <c r="E25" i="11"/>
  <c r="Q51" i="1"/>
  <c r="N51"/>
  <c r="O51"/>
  <c r="O52" s="1"/>
  <c r="Q52" s="1"/>
  <c r="Q61"/>
  <c r="N57"/>
  <c r="O57"/>
  <c r="O58" s="1"/>
  <c r="Q58" s="1"/>
  <c r="O50" i="10"/>
  <c r="O51" s="1"/>
  <c r="Q51" s="1"/>
  <c r="Q50"/>
  <c r="N50"/>
  <c r="O52"/>
  <c r="O53" i="1"/>
  <c r="O68"/>
  <c r="U12" i="10"/>
  <c r="Y12" s="1"/>
  <c r="AI12" s="1"/>
  <c r="AI19" l="1"/>
  <c r="AJ19" s="1"/>
  <c r="AK19" s="1"/>
  <c r="AI13"/>
  <c r="AL12"/>
  <c r="AI11"/>
  <c r="AJ11" s="1"/>
  <c r="AK11" s="1"/>
  <c r="AI10"/>
  <c r="AJ12"/>
  <c r="AK12"/>
  <c r="AI33" i="1"/>
  <c r="Y42"/>
  <c r="AJ42"/>
  <c r="AB38"/>
  <c r="AL35"/>
  <c r="AL29" s="1"/>
  <c r="AJ29"/>
  <c r="AI41"/>
  <c r="AL41"/>
  <c r="Y38"/>
  <c r="AK34" i="10"/>
  <c r="AJ28"/>
  <c r="AI41"/>
  <c r="AI40"/>
  <c r="Z12"/>
  <c r="AD12"/>
  <c r="AM12" s="1"/>
  <c r="Q49"/>
  <c r="Q50" i="1"/>
  <c r="J6" i="11"/>
  <c r="O58" i="10"/>
  <c r="O56"/>
  <c r="Q56" s="1"/>
  <c r="N56"/>
  <c r="P60" i="1"/>
  <c r="Q62" s="1"/>
  <c r="Q60" s="1"/>
  <c r="V70" i="10"/>
  <c r="T64" i="8"/>
  <c r="V64" s="1"/>
  <c r="V69" s="1"/>
  <c r="U19" i="1"/>
  <c r="AJ73" i="10" l="1"/>
  <c r="AJ77"/>
  <c r="AK73"/>
  <c r="AK71" s="1"/>
  <c r="AK65" s="1"/>
  <c r="AK77"/>
  <c r="AK75" s="1"/>
  <c r="AL10"/>
  <c r="AJ10"/>
  <c r="AK10" s="1"/>
  <c r="AL42" i="1"/>
  <c r="AJ38"/>
  <c r="AI35"/>
  <c r="AI29" s="1"/>
  <c r="AI34" i="10"/>
  <c r="AI28" s="1"/>
  <c r="AL28" s="1"/>
  <c r="AK28"/>
  <c r="Q53" i="1"/>
  <c r="Z50"/>
  <c r="N49" i="10"/>
  <c r="Z49"/>
  <c r="AB12"/>
  <c r="N50" i="1"/>
  <c r="N52" s="1"/>
  <c r="Q52" i="10"/>
  <c r="O57"/>
  <c r="Q57" s="1"/>
  <c r="Q55" s="1"/>
  <c r="Q63" i="1"/>
  <c r="Q95" s="1"/>
  <c r="AE74" i="10"/>
  <c r="AE71" s="1"/>
  <c r="X70"/>
  <c r="AE70" s="1"/>
  <c r="AE66" s="1"/>
  <c r="V68"/>
  <c r="V64" s="1"/>
  <c r="AD19" i="1"/>
  <c r="AI19" s="1"/>
  <c r="V19"/>
  <c r="X19" s="1"/>
  <c r="Q19"/>
  <c r="AE70"/>
  <c r="AI73" i="10" l="1"/>
  <c r="AJ75"/>
  <c r="AI77"/>
  <c r="AI75" s="1"/>
  <c r="AI42" i="1"/>
  <c r="AI38" s="1"/>
  <c r="AL38"/>
  <c r="N51" i="10"/>
  <c r="T49"/>
  <c r="AB50" i="1"/>
  <c r="N53"/>
  <c r="Z53"/>
  <c r="AB53" s="1"/>
  <c r="Q58" i="10"/>
  <c r="N58" s="1"/>
  <c r="Z55"/>
  <c r="N52"/>
  <c r="Z52"/>
  <c r="AB52" s="1"/>
  <c r="Z51"/>
  <c r="Z48"/>
  <c r="AB49"/>
  <c r="AJ49" s="1"/>
  <c r="Y49"/>
  <c r="Y51" s="1"/>
  <c r="AJ19" i="1"/>
  <c r="AL19" s="1"/>
  <c r="AG70" i="10"/>
  <c r="AE68"/>
  <c r="AG74"/>
  <c r="AG71" s="1"/>
  <c r="AD71" s="1"/>
  <c r="N55"/>
  <c r="U70"/>
  <c r="X68"/>
  <c r="X64" s="1"/>
  <c r="U64" s="1"/>
  <c r="AE19" i="1"/>
  <c r="AG19" s="1"/>
  <c r="AG70"/>
  <c r="Q17"/>
  <c r="N57" i="10" l="1"/>
  <c r="T55"/>
  <c r="AK49"/>
  <c r="AJ51"/>
  <c r="AI49"/>
  <c r="AI51" s="1"/>
  <c r="Y52"/>
  <c r="AJ52"/>
  <c r="AK52" s="1"/>
  <c r="AI52" s="1"/>
  <c r="Y53" i="1"/>
  <c r="AJ53"/>
  <c r="Y50"/>
  <c r="AJ50"/>
  <c r="AB49"/>
  <c r="Z49"/>
  <c r="AG68" i="10"/>
  <c r="AG64" s="1"/>
  <c r="AG66"/>
  <c r="AB51"/>
  <c r="AB48"/>
  <c r="Y48" s="1"/>
  <c r="AB55"/>
  <c r="AJ55" s="1"/>
  <c r="Z57"/>
  <c r="Z58"/>
  <c r="Z54" s="1"/>
  <c r="AD74"/>
  <c r="AE64"/>
  <c r="AD64" s="1"/>
  <c r="AD68"/>
  <c r="AD70"/>
  <c r="AD66" s="1"/>
  <c r="AI66" s="1"/>
  <c r="U68"/>
  <c r="U69" s="1"/>
  <c r="V17" i="1"/>
  <c r="AL53" l="1"/>
  <c r="AI53" s="1"/>
  <c r="AK55" i="10"/>
  <c r="AJ57"/>
  <c r="AJ58"/>
  <c r="AJ54" s="1"/>
  <c r="AI55"/>
  <c r="AK51"/>
  <c r="AK48"/>
  <c r="AJ48"/>
  <c r="Y49" i="1"/>
  <c r="AL50"/>
  <c r="AJ52"/>
  <c r="AJ49"/>
  <c r="AI50"/>
  <c r="AJ66" i="10"/>
  <c r="AK66" s="1"/>
  <c r="Y55"/>
  <c r="AB58"/>
  <c r="AB54" s="1"/>
  <c r="Y54" s="1"/>
  <c r="AB57"/>
  <c r="AD69"/>
  <c r="X17" i="1"/>
  <c r="AE17" s="1"/>
  <c r="AF24"/>
  <c r="V112"/>
  <c r="V113" s="1"/>
  <c r="W112"/>
  <c r="W115" s="1"/>
  <c r="X112"/>
  <c r="X115" s="1"/>
  <c r="W24"/>
  <c r="AI48" i="10" l="1"/>
  <c r="AI57"/>
  <c r="AI58"/>
  <c r="AI54" s="1"/>
  <c r="AK57"/>
  <c r="AK58"/>
  <c r="AK54" s="1"/>
  <c r="AI49" i="1"/>
  <c r="AI52"/>
  <c r="AL52"/>
  <c r="AL49"/>
  <c r="Y57" i="10"/>
  <c r="Y58"/>
  <c r="AJ71"/>
  <c r="W113" i="1"/>
  <c r="X113"/>
  <c r="U17"/>
  <c r="AG17"/>
  <c r="AD17" s="1"/>
  <c r="AI17" s="1"/>
  <c r="AJ65" i="10" l="1"/>
  <c r="AI65" s="1"/>
  <c r="AI71"/>
  <c r="AJ17" i="1"/>
  <c r="AL17" s="1"/>
  <c r="Q7"/>
  <c r="AJ64" i="10" l="1"/>
  <c r="AK64"/>
  <c r="AI64"/>
  <c r="V7" i="1"/>
  <c r="X7" s="1"/>
  <c r="AE7" s="1"/>
  <c r="AG7" s="1"/>
  <c r="AM64" i="10" l="1"/>
  <c r="AL64"/>
  <c r="Q22" i="3"/>
  <c r="S22" s="1"/>
  <c r="K22"/>
  <c r="M22" s="1"/>
  <c r="S17"/>
  <c r="M17"/>
  <c r="S16"/>
  <c r="M16"/>
  <c r="S15"/>
  <c r="M15"/>
  <c r="S14"/>
  <c r="M14"/>
  <c r="S13"/>
  <c r="M13"/>
  <c r="S12"/>
  <c r="M12"/>
  <c r="S11"/>
  <c r="M11"/>
  <c r="S10"/>
  <c r="M10"/>
  <c r="S9"/>
  <c r="M9"/>
  <c r="S8"/>
  <c r="M8"/>
  <c r="V87" i="1" l="1"/>
  <c r="X87" l="1"/>
  <c r="AE87" s="1"/>
  <c r="AG87" s="1"/>
  <c r="U87" l="1"/>
  <c r="AD87" l="1"/>
  <c r="X16" l="1"/>
  <c r="U16" s="1"/>
  <c r="X18"/>
  <c r="U18" s="1"/>
  <c r="U7" l="1"/>
  <c r="AD18"/>
  <c r="AD16"/>
  <c r="AD7"/>
  <c r="Q10" l="1"/>
  <c r="Q12" s="1"/>
  <c r="Q13"/>
  <c r="Q80" s="1"/>
  <c r="V80" s="1"/>
  <c r="N80" l="1"/>
  <c r="AM80" s="1"/>
  <c r="Q99"/>
  <c r="N99" s="1"/>
  <c r="N79"/>
  <c r="AM79" s="1"/>
  <c r="Q67"/>
  <c r="N67" s="1"/>
  <c r="N68" s="1"/>
  <c r="Q15"/>
  <c r="V10"/>
  <c r="V12" s="1"/>
  <c r="V13"/>
  <c r="X13" l="1"/>
  <c r="U13" s="1"/>
  <c r="V99"/>
  <c r="N100"/>
  <c r="Q77"/>
  <c r="N77" s="1"/>
  <c r="T77" s="1"/>
  <c r="Q66"/>
  <c r="N66" s="1"/>
  <c r="Q68"/>
  <c r="X10"/>
  <c r="V15"/>
  <c r="V79" s="1"/>
  <c r="AE13"/>
  <c r="V77" l="1"/>
  <c r="X79"/>
  <c r="U79" s="1"/>
  <c r="Q65"/>
  <c r="U10"/>
  <c r="U12" s="1"/>
  <c r="X12"/>
  <c r="Q101"/>
  <c r="V65"/>
  <c r="X15"/>
  <c r="AE10"/>
  <c r="AE12" s="1"/>
  <c r="AG13"/>
  <c r="AG100" s="1"/>
  <c r="N65" l="1"/>
  <c r="AE71"/>
  <c r="AE67" s="1"/>
  <c r="X65"/>
  <c r="U65" s="1"/>
  <c r="AG10"/>
  <c r="AG12" s="1"/>
  <c r="U15"/>
  <c r="AE15"/>
  <c r="AE79" s="1"/>
  <c r="AD13"/>
  <c r="AI13" s="1"/>
  <c r="AM14" s="1"/>
  <c r="AN13" l="1"/>
  <c r="AM13"/>
  <c r="AI15"/>
  <c r="AI10"/>
  <c r="AI67" s="1"/>
  <c r="AJ13"/>
  <c r="AE69"/>
  <c r="AG71"/>
  <c r="AG79"/>
  <c r="AD79" s="1"/>
  <c r="AG15"/>
  <c r="AD15" s="1"/>
  <c r="AD10"/>
  <c r="AD12" s="1"/>
  <c r="AI71" l="1"/>
  <c r="AM67"/>
  <c r="AL13"/>
  <c r="AG69"/>
  <c r="AG67"/>
  <c r="AI11"/>
  <c r="AJ10"/>
  <c r="AJ11" s="1"/>
  <c r="AI8"/>
  <c r="AJ15"/>
  <c r="AL15" s="1"/>
  <c r="AG65"/>
  <c r="AE65"/>
  <c r="AD69"/>
  <c r="AD71"/>
  <c r="AD67" s="1"/>
  <c r="AD68" s="1"/>
  <c r="AN67" l="1"/>
  <c r="AN11"/>
  <c r="AM11"/>
  <c r="AJ67"/>
  <c r="AI75"/>
  <c r="AL67"/>
  <c r="AL10"/>
  <c r="AL11" s="1"/>
  <c r="AJ8"/>
  <c r="AL8" s="1"/>
  <c r="AI7"/>
  <c r="AD65"/>
  <c r="AD70"/>
  <c r="AN7" l="1"/>
  <c r="AM7"/>
  <c r="AJ7"/>
  <c r="AL7"/>
  <c r="AJ75"/>
  <c r="AJ71"/>
  <c r="AJ69" s="1"/>
  <c r="O120"/>
  <c r="AL71" l="1"/>
  <c r="AL69" s="1"/>
  <c r="AI69" s="1"/>
  <c r="AL75"/>
  <c r="AL73" s="1"/>
  <c r="AJ73"/>
  <c r="AJ79"/>
  <c r="AJ136" s="1"/>
  <c r="O104"/>
  <c r="AL66" l="1"/>
  <c r="AL65" s="1"/>
  <c r="AI73"/>
  <c r="AL79"/>
  <c r="AL77" s="1"/>
  <c r="AJ66"/>
  <c r="AJ65" s="1"/>
  <c r="X80"/>
  <c r="X99"/>
  <c r="V101"/>
  <c r="AI66" l="1"/>
  <c r="AI65" s="1"/>
  <c r="X77"/>
  <c r="U77" s="1"/>
  <c r="U80"/>
  <c r="AE80"/>
  <c r="U99"/>
  <c r="U100" s="1"/>
  <c r="X101"/>
  <c r="AG101"/>
  <c r="AE100"/>
  <c r="AG80" s="1"/>
  <c r="AG77" s="1"/>
  <c r="AN65" l="1"/>
  <c r="AM65"/>
  <c r="AE77"/>
  <c r="AD80"/>
  <c r="AE99"/>
  <c r="AE101"/>
  <c r="AD99" l="1"/>
  <c r="AD77"/>
  <c r="AD100" l="1"/>
  <c r="O59" l="1"/>
  <c r="O24" s="1"/>
  <c r="Q57"/>
  <c r="Q56" s="1"/>
  <c r="Z56" s="1"/>
  <c r="AB56" l="1"/>
  <c r="N56"/>
  <c r="N58" s="1"/>
  <c r="Q59"/>
  <c r="N59" l="1"/>
  <c r="Z59"/>
  <c r="Y56"/>
  <c r="AJ56"/>
  <c r="AB58"/>
  <c r="Q24"/>
  <c r="AL56" l="1"/>
  <c r="AJ58"/>
  <c r="AI56"/>
  <c r="AB59"/>
  <c r="Z55"/>
  <c r="V24"/>
  <c r="V22" s="1"/>
  <c r="V94" s="1"/>
  <c r="V98" s="1"/>
  <c r="Q22"/>
  <c r="Q94" s="1"/>
  <c r="Q98" s="1"/>
  <c r="X24"/>
  <c r="AE24" s="1"/>
  <c r="AE22" s="1"/>
  <c r="Z24" l="1"/>
  <c r="Y59"/>
  <c r="AJ59"/>
  <c r="AJ135" s="1"/>
  <c r="AB55"/>
  <c r="AB24" s="1"/>
  <c r="AI58"/>
  <c r="AL58"/>
  <c r="X22"/>
  <c r="X94" s="1"/>
  <c r="X98" s="1"/>
  <c r="U24"/>
  <c r="AG24"/>
  <c r="AG22" s="1"/>
  <c r="AB22" l="1"/>
  <c r="AB27"/>
  <c r="AL59"/>
  <c r="AJ55"/>
  <c r="Z22"/>
  <c r="Y24"/>
  <c r="Z27"/>
  <c r="Z94"/>
  <c r="Z98" s="1"/>
  <c r="AB98" s="1"/>
  <c r="Y55"/>
  <c r="AJ24"/>
  <c r="AL24" s="1"/>
  <c r="AL22" s="1"/>
  <c r="AB94"/>
  <c r="Y22"/>
  <c r="U22"/>
  <c r="U94" s="1"/>
  <c r="AG23"/>
  <c r="AG94"/>
  <c r="AD22"/>
  <c r="AE94"/>
  <c r="AE98" s="1"/>
  <c r="AD24"/>
  <c r="Z99" l="1"/>
  <c r="Z100" s="1"/>
  <c r="AB99"/>
  <c r="Y94"/>
  <c r="AI59"/>
  <c r="AI55" s="1"/>
  <c r="AL55"/>
  <c r="AI24"/>
  <c r="AL94"/>
  <c r="AL97" s="1"/>
  <c r="Y99"/>
  <c r="AB100"/>
  <c r="AD23"/>
  <c r="AD94"/>
  <c r="AG98"/>
  <c r="AN24" l="1"/>
  <c r="AM24"/>
  <c r="AB101"/>
  <c r="N24"/>
  <c r="O22" l="1"/>
  <c r="O94" s="1"/>
  <c r="N22" l="1"/>
  <c r="U23" s="1"/>
  <c r="O98" l="1"/>
  <c r="AI134" s="1"/>
  <c r="N94"/>
  <c r="T94" s="1"/>
  <c r="N98" l="1"/>
  <c r="AL99"/>
  <c r="O42" i="10"/>
  <c r="O23" s="1"/>
  <c r="AL100" i="1" l="1"/>
  <c r="AL101" s="1"/>
  <c r="Q43" i="10"/>
  <c r="Q42" l="1"/>
  <c r="Z43"/>
  <c r="AB43" s="1"/>
  <c r="O21"/>
  <c r="N42"/>
  <c r="T42" s="1"/>
  <c r="Y43" l="1"/>
  <c r="AJ43"/>
  <c r="Q23"/>
  <c r="Z42"/>
  <c r="O90"/>
  <c r="AK43" l="1"/>
  <c r="AK42" s="1"/>
  <c r="AK37" s="1"/>
  <c r="AK23" s="1"/>
  <c r="AJ42"/>
  <c r="AI43"/>
  <c r="AB42"/>
  <c r="Z37"/>
  <c r="Z23" s="1"/>
  <c r="Q21"/>
  <c r="N23"/>
  <c r="T23" s="1"/>
  <c r="V23"/>
  <c r="X23"/>
  <c r="AK21" l="1"/>
  <c r="AI42"/>
  <c r="AI37" s="1"/>
  <c r="AJ37"/>
  <c r="AJ23" s="1"/>
  <c r="AK24" s="1"/>
  <c r="AE23"/>
  <c r="U23"/>
  <c r="V21"/>
  <c r="Q90"/>
  <c r="N21"/>
  <c r="T21" s="1"/>
  <c r="Z27"/>
  <c r="Y42"/>
  <c r="AB37"/>
  <c r="AI23" l="1"/>
  <c r="AI21" s="1"/>
  <c r="AJ21"/>
  <c r="Y37"/>
  <c r="AB23"/>
  <c r="N90"/>
  <c r="T90" s="1"/>
  <c r="V90"/>
  <c r="AE27"/>
  <c r="AG23"/>
  <c r="AD23" s="1"/>
  <c r="AM23" s="1"/>
  <c r="AG27" l="1"/>
  <c r="AB27"/>
  <c r="Y23"/>
  <c r="AL23" s="1"/>
  <c r="AK90" l="1"/>
  <c r="AJ90"/>
  <c r="AJ92" s="1"/>
  <c r="AJ94" s="1"/>
  <c r="AJ95" s="1"/>
  <c r="AK97" s="1"/>
  <c r="AI90" l="1"/>
  <c r="AK92"/>
  <c r="AI92" s="1"/>
  <c r="O96" l="1"/>
  <c r="O99"/>
  <c r="Z77"/>
  <c r="Z75"/>
  <c r="Z90" s="1"/>
  <c r="Z93" s="1"/>
  <c r="Z94" s="1"/>
  <c r="Z95" s="1"/>
  <c r="AB77"/>
  <c r="AB75" s="1"/>
  <c r="Q96"/>
  <c r="V95"/>
  <c r="V96" s="1"/>
  <c r="X77"/>
  <c r="X75" s="1"/>
  <c r="Q94"/>
  <c r="Q93" s="1"/>
  <c r="O94"/>
  <c r="O115" s="1"/>
  <c r="AK94"/>
  <c r="AK95" s="1"/>
  <c r="AI94"/>
  <c r="AI95" s="1"/>
  <c r="AB21" l="1"/>
  <c r="AB90"/>
  <c r="AB93" s="1"/>
  <c r="AB94" s="1"/>
  <c r="AB95" s="1"/>
  <c r="AB96" s="1"/>
  <c r="O93"/>
  <c r="AE77"/>
  <c r="AE75" s="1"/>
  <c r="AE21" s="1"/>
  <c r="AE90" s="1"/>
  <c r="Y77"/>
  <c r="Y75"/>
  <c r="AL75" s="1"/>
  <c r="AK100"/>
  <c r="AK101" s="1"/>
  <c r="U75"/>
  <c r="X21"/>
  <c r="X95"/>
  <c r="V94"/>
  <c r="AJ97"/>
  <c r="AJ100" s="1"/>
  <c r="AJ96"/>
  <c r="Y94"/>
  <c r="Y95" s="1"/>
  <c r="Z21"/>
  <c r="Y21" s="1"/>
  <c r="AL21" s="1"/>
  <c r="N94"/>
  <c r="N95" l="1"/>
  <c r="T94"/>
  <c r="Y90"/>
  <c r="AL90" s="1"/>
  <c r="AK96"/>
  <c r="V93"/>
  <c r="X96"/>
  <c r="AG96"/>
  <c r="X94"/>
  <c r="AE95"/>
  <c r="X90"/>
  <c r="U21"/>
  <c r="U90" s="1"/>
  <c r="AE96" l="1"/>
  <c r="AE94"/>
  <c r="AG77"/>
  <c r="X93"/>
  <c r="U94"/>
  <c r="U95" s="1"/>
  <c r="AG75" l="1"/>
  <c r="AD77"/>
  <c r="AE93"/>
  <c r="AD94"/>
  <c r="AD95" s="1"/>
  <c r="AG21" l="1"/>
  <c r="AD75"/>
  <c r="AM75" s="1"/>
  <c r="AG90" l="1"/>
  <c r="AG93" s="1"/>
  <c r="AD21"/>
  <c r="AM21" l="1"/>
  <c r="AD90"/>
  <c r="AM90" s="1"/>
  <c r="R94"/>
  <c r="R95" s="1"/>
  <c r="R21"/>
  <c r="AJ77" i="1"/>
  <c r="AJ94" s="1"/>
  <c r="AJ97" s="1"/>
  <c r="AJ22"/>
  <c r="AJ134" s="1"/>
  <c r="AJ137" s="1"/>
  <c r="AJ138" s="1"/>
  <c r="AJ139" s="1"/>
  <c r="AI77"/>
  <c r="AN77" s="1"/>
  <c r="AI97" l="1"/>
  <c r="AJ99"/>
  <c r="AJ100" s="1"/>
  <c r="AI94"/>
  <c r="AI22"/>
  <c r="AM77"/>
  <c r="AJ102" l="1"/>
  <c r="AJ130" s="1"/>
  <c r="AL102"/>
  <c r="AL130" s="1"/>
  <c r="AL131" s="1"/>
  <c r="AN22"/>
  <c r="AM22"/>
  <c r="AN94"/>
  <c r="AM94"/>
  <c r="AI99"/>
  <c r="AI100" s="1"/>
</calcChain>
</file>

<file path=xl/comments1.xml><?xml version="1.0" encoding="utf-8"?>
<comments xmlns="http://schemas.openxmlformats.org/spreadsheetml/2006/main">
  <authors>
    <author>Автор</author>
  </authors>
  <commentList>
    <comment ref="Y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рассчитан от факта 2015 г. с ростом 4%
</t>
        </r>
      </text>
    </comment>
  </commentList>
</comments>
</file>

<file path=xl/sharedStrings.xml><?xml version="1.0" encoding="utf-8"?>
<sst xmlns="http://schemas.openxmlformats.org/spreadsheetml/2006/main" count="831" uniqueCount="392">
  <si>
    <t>ед.изм</t>
  </si>
  <si>
    <t>план</t>
  </si>
  <si>
    <t>факт</t>
  </si>
  <si>
    <t>№ 
п/п</t>
  </si>
  <si>
    <t>тыс.руб.</t>
  </si>
  <si>
    <t>Операционные расходы</t>
  </si>
  <si>
    <t>индекс эффективности расходов</t>
  </si>
  <si>
    <t>%</t>
  </si>
  <si>
    <t>тариф</t>
  </si>
  <si>
    <t>тыс. кВт*ч</t>
  </si>
  <si>
    <t>руб/кВт</t>
  </si>
  <si>
    <t>тыс.м3</t>
  </si>
  <si>
    <t>ПРОИЗВОДСТВЕННЫЕ РАСХОДЫ</t>
  </si>
  <si>
    <t>численность</t>
  </si>
  <si>
    <t>ср.з.плата</t>
  </si>
  <si>
    <t>РЕМОНТНЫЕ РАСХОДЫ</t>
  </si>
  <si>
    <t>2.</t>
  </si>
  <si>
    <t>2.1</t>
  </si>
  <si>
    <t>2.2</t>
  </si>
  <si>
    <t xml:space="preserve">удельный расход эл.энергии на подачу (в сеть) </t>
  </si>
  <si>
    <t>3.</t>
  </si>
  <si>
    <t>4.</t>
  </si>
  <si>
    <t>II. Амортизация</t>
  </si>
  <si>
    <t>III. Нормативная прибыль</t>
  </si>
  <si>
    <t>налог на имущество</t>
  </si>
  <si>
    <t>кВт*час/м3</t>
  </si>
  <si>
    <t>руб./м3</t>
  </si>
  <si>
    <t>НВВ (без сглаживания)</t>
  </si>
  <si>
    <t>2.3</t>
  </si>
  <si>
    <t>ЦЕХОВЫЕ РАСХОДЫ</t>
  </si>
  <si>
    <t>прибыль на прочие цели</t>
  </si>
  <si>
    <t>тыс. руб.</t>
  </si>
  <si>
    <t>2.4</t>
  </si>
  <si>
    <t>АДМИНИСТРАТИВНЫЕ РАСХОДЫ</t>
  </si>
  <si>
    <t>средства на возврат займов (кредитов)</t>
  </si>
  <si>
    <t>расходы на кап.вложения (инвестиции)</t>
  </si>
  <si>
    <t>прибыль, остающаяся в распоряжении организации</t>
  </si>
  <si>
    <t>2.1.1</t>
  </si>
  <si>
    <t>2.1.2</t>
  </si>
  <si>
    <t>Неподконтрольные расходы, в том числе</t>
  </si>
  <si>
    <t xml:space="preserve"> </t>
  </si>
  <si>
    <t>Пропущено через очистные сооружения</t>
  </si>
  <si>
    <t>Поднято воды</t>
  </si>
  <si>
    <t xml:space="preserve">Подано в сеть </t>
  </si>
  <si>
    <t>уровень потерь к отпуску в сеть</t>
  </si>
  <si>
    <t>в том числе по приборам учета</t>
  </si>
  <si>
    <t>Электроэнергия НН</t>
  </si>
  <si>
    <t>объем всего</t>
  </si>
  <si>
    <t>Реагенты</t>
  </si>
  <si>
    <t>капитальный ремонт</t>
  </si>
  <si>
    <t>ед.</t>
  </si>
  <si>
    <t>руб./мес.</t>
  </si>
  <si>
    <t>2.1.3</t>
  </si>
  <si>
    <t>2.2.1</t>
  </si>
  <si>
    <t>2.2.2</t>
  </si>
  <si>
    <t>2.3.1</t>
  </si>
  <si>
    <t>2.3.2</t>
  </si>
  <si>
    <t>Покупная вода</t>
  </si>
  <si>
    <t xml:space="preserve">объем </t>
  </si>
  <si>
    <t>Оплата труда ОПР</t>
  </si>
  <si>
    <t>2.4.1</t>
  </si>
  <si>
    <t>2.4.2</t>
  </si>
  <si>
    <t>2.3.3</t>
  </si>
  <si>
    <t xml:space="preserve">Прочие прямые расходы </t>
  </si>
  <si>
    <t>2.4.4</t>
  </si>
  <si>
    <t>3.1</t>
  </si>
  <si>
    <t xml:space="preserve">Электроэнергия </t>
  </si>
  <si>
    <t>3.1.1</t>
  </si>
  <si>
    <t>4.1</t>
  </si>
  <si>
    <t>4.3</t>
  </si>
  <si>
    <t>2.2.4</t>
  </si>
  <si>
    <t>мероприятия по энергосбережению</t>
  </si>
  <si>
    <t>01.01.2016   30.06.2016</t>
  </si>
  <si>
    <t>01.07.2016   31.12.2016</t>
  </si>
  <si>
    <t>01.01.2017   30.06.2017</t>
  </si>
  <si>
    <t>01.07.2017   31.12.2017</t>
  </si>
  <si>
    <t xml:space="preserve"> объем </t>
  </si>
  <si>
    <t>2014 год</t>
  </si>
  <si>
    <t>2015 год</t>
  </si>
  <si>
    <t>2.4.3</t>
  </si>
  <si>
    <t>Рост</t>
  </si>
  <si>
    <t>Оплата труда ремонтного персонала</t>
  </si>
  <si>
    <t>2.2.6</t>
  </si>
  <si>
    <t>транспортный налог</t>
  </si>
  <si>
    <t>предложение департамента</t>
  </si>
  <si>
    <t>предложение предприятия</t>
  </si>
  <si>
    <t>Хозяйственные нужды предприятия</t>
  </si>
  <si>
    <t>Реализовано воды всего, в т.ч.:</t>
  </si>
  <si>
    <t>налог на воду</t>
  </si>
  <si>
    <t>Кол-во</t>
  </si>
  <si>
    <t>за 2014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</si>
  <si>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</si>
  <si>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</si>
  <si>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</si>
  <si>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</si>
  <si>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</si>
  <si>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</si>
  <si>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</si>
  <si>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</si>
  <si>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</si>
  <si>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</si>
  <si>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</si>
  <si>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</si>
  <si>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</si>
  <si>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r>
      <t xml:space="preserve">тарифы на </t>
    </r>
    <r>
      <rPr>
        <b/>
        <sz val="12"/>
        <rFont val="Arial Cyr"/>
        <charset val="204"/>
      </rPr>
      <t>НН</t>
    </r>
    <r>
      <rPr>
        <sz val="11"/>
        <color theme="1"/>
        <rFont val="Calibri"/>
        <family val="2"/>
        <charset val="204"/>
        <scheme val="minor"/>
      </rPr>
      <t xml:space="preserve"> за 2014 г. (10 мес.)</t>
    </r>
  </si>
  <si>
    <r>
      <t xml:space="preserve">тарифы на </t>
    </r>
    <r>
      <rPr>
        <b/>
        <sz val="12"/>
        <rFont val="Arial Cyr"/>
        <charset val="204"/>
      </rPr>
      <t>СН-2</t>
    </r>
    <r>
      <rPr>
        <sz val="11"/>
        <color theme="1"/>
        <rFont val="Calibri"/>
        <family val="2"/>
        <charset val="204"/>
        <scheme val="minor"/>
      </rPr>
      <t xml:space="preserve"> за 2014 г. (10 мес.)</t>
    </r>
  </si>
  <si>
    <t>НДС</t>
  </si>
  <si>
    <t>тариф + НДС</t>
  </si>
  <si>
    <t>без НДС</t>
  </si>
  <si>
    <t>С НДС</t>
  </si>
  <si>
    <t>ИТОГО</t>
  </si>
  <si>
    <t>Наименование</t>
  </si>
  <si>
    <t>Дата ввода в эксплуатацию</t>
  </si>
  <si>
    <t>Годовая сумма амортизации, тыс. руб.</t>
  </si>
  <si>
    <t>Остаточная стоимость, тыс. руб.</t>
  </si>
  <si>
    <t>Балансовая стоимость, тыс. руб.</t>
  </si>
  <si>
    <t>№ п/п</t>
  </si>
  <si>
    <t>Наименование профессии</t>
  </si>
  <si>
    <t>Разряд</t>
  </si>
  <si>
    <t>Численность</t>
  </si>
  <si>
    <t>Оклад мес./ тарифная ставка</t>
  </si>
  <si>
    <t>премия</t>
  </si>
  <si>
    <t>В месяц на 1 чел., руб.</t>
  </si>
  <si>
    <t>Время работы в год</t>
  </si>
  <si>
    <t>АУП</t>
  </si>
  <si>
    <t>Директор</t>
  </si>
  <si>
    <t>ОСНОВНОЕ ПРОИЗВОДСТВО ВС</t>
  </si>
  <si>
    <t>налог на прибыль</t>
  </si>
  <si>
    <t>НН</t>
  </si>
  <si>
    <t>Текущий ремонт и техническое обслуживание</t>
  </si>
  <si>
    <t>Цеховые</t>
  </si>
  <si>
    <t>Оплата труда АУП</t>
  </si>
  <si>
    <t>Отчисления на соц. нужды от з/пл (30,20%)</t>
  </si>
  <si>
    <t>Общехозяйственные</t>
  </si>
  <si>
    <t>бюджетные потребители</t>
  </si>
  <si>
    <t>население</t>
  </si>
  <si>
    <t>на производственные нужды предприятия</t>
  </si>
  <si>
    <t>ТАРИФ (НДС не облагается)</t>
  </si>
  <si>
    <t>4.4</t>
  </si>
  <si>
    <t>4.2</t>
  </si>
  <si>
    <t>ЧТС, руб/ч</t>
  </si>
  <si>
    <t>Всего в год</t>
  </si>
  <si>
    <t>доплата до МРОТ</t>
  </si>
  <si>
    <t>переработка</t>
  </si>
  <si>
    <t xml:space="preserve">ЦЕХОВЫЕ </t>
  </si>
  <si>
    <t>АУП (ВС)</t>
  </si>
  <si>
    <t>ВС</t>
  </si>
  <si>
    <t xml:space="preserve"> АУП (ВО)</t>
  </si>
  <si>
    <t>ВО</t>
  </si>
  <si>
    <t>ВС (факт)</t>
  </si>
  <si>
    <t>Оплата труда прочего персонала, относимого на регулируемый вид деятельности</t>
  </si>
  <si>
    <t>отчисления на соц. нужды от з/пл (30,20%)</t>
  </si>
  <si>
    <t>Расходы на электрическую энергию</t>
  </si>
  <si>
    <t>с 01.01.2015</t>
  </si>
  <si>
    <t>с 01.07.2015</t>
  </si>
  <si>
    <t>2012 года</t>
  </si>
  <si>
    <t>2013 года</t>
  </si>
  <si>
    <t>ИПЦ на 2016 год</t>
  </si>
  <si>
    <t>2018 год</t>
  </si>
  <si>
    <t>01.01.2018   30.06.2018</t>
  </si>
  <si>
    <t>01.07.2018   31.12.2018</t>
  </si>
  <si>
    <t>ИПЦ на 2017 год</t>
  </si>
  <si>
    <t>ИПЦ на 2018 год</t>
  </si>
  <si>
    <t>дельта НВВ сглаживания</t>
  </si>
  <si>
    <t>НВВ</t>
  </si>
  <si>
    <t xml:space="preserve">план         </t>
  </si>
  <si>
    <t>% роста текущих расходов к базовому 2016 г.</t>
  </si>
  <si>
    <t>прочие потребители</t>
  </si>
  <si>
    <t>Электроэнергия СН-2</t>
  </si>
  <si>
    <t>Расходы на проведение АВР</t>
  </si>
  <si>
    <t>2.1.4</t>
  </si>
  <si>
    <t>тариф (СН-2)</t>
  </si>
  <si>
    <t>Оплата труда цехового персонала</t>
  </si>
  <si>
    <t>Тарифная ставка рабочего 1-го разряда</t>
  </si>
  <si>
    <t xml:space="preserve">факт </t>
  </si>
  <si>
    <t>ПРОЧИЙ ПЕРСОНАЛ</t>
  </si>
  <si>
    <t>ТЕПЛОСНАБЖЕНИЕ</t>
  </si>
  <si>
    <t>Кочегар-истопник</t>
  </si>
  <si>
    <t>отчисления на соц. нужды от з/пл  (30,20%)</t>
  </si>
  <si>
    <t>Отчисления на соц. нужды от з/пл  (30,20%)</t>
  </si>
  <si>
    <t>4.5</t>
  </si>
  <si>
    <t>тариф (НН)</t>
  </si>
  <si>
    <t>за особые условия труда (сложность)</t>
  </si>
  <si>
    <t>стаж работы</t>
  </si>
  <si>
    <t>напряженность</t>
  </si>
  <si>
    <t>ненормир. рабочий день</t>
  </si>
  <si>
    <t>работа в ночное время</t>
  </si>
  <si>
    <t>факт 9 месяцев</t>
  </si>
  <si>
    <t>Цена</t>
  </si>
  <si>
    <t>Сумма, тыс. руб.</t>
  </si>
  <si>
    <t>ремонты</t>
  </si>
  <si>
    <t>прочие расходы (ГСМ и малоценные материалы)</t>
  </si>
  <si>
    <t>Пропущено сточных вод</t>
  </si>
  <si>
    <t>Пропущено сточных вод по категориям потребителей всего, в т.ч.</t>
  </si>
  <si>
    <t>прочие поребители</t>
  </si>
  <si>
    <t>от собственного предприятия</t>
  </si>
  <si>
    <t>ОСНОВНОЕ ПРОИЗВОДСТВО ВО</t>
  </si>
  <si>
    <t xml:space="preserve">% по воде </t>
  </si>
  <si>
    <t>% по стокам</t>
  </si>
  <si>
    <t xml:space="preserve"> ремонт (ВС)</t>
  </si>
  <si>
    <t xml:space="preserve"> ремонт (ВО)</t>
  </si>
  <si>
    <t>ФОТ 2016</t>
  </si>
  <si>
    <t>числ-ть 2016</t>
  </si>
  <si>
    <t>Наименование автотранспорта</t>
  </si>
  <si>
    <t>налоговая ставка</t>
  </si>
  <si>
    <t>л.с.</t>
  </si>
  <si>
    <t>на воду</t>
  </si>
  <si>
    <t>на стоки</t>
  </si>
  <si>
    <t>на 2016 год</t>
  </si>
  <si>
    <t xml:space="preserve">Переброска затрат на водоотведение(общехозяйственные и з/п прочего персонала) </t>
  </si>
  <si>
    <t>ВО (факт)</t>
  </si>
  <si>
    <t>СН-2</t>
  </si>
  <si>
    <t>Зам. директора</t>
  </si>
  <si>
    <t>Гл. бухгалтер</t>
  </si>
  <si>
    <t>Бухгалтер</t>
  </si>
  <si>
    <t>цех (ВС)</t>
  </si>
  <si>
    <t>цех (ВО)</t>
  </si>
  <si>
    <t>Водопровод</t>
  </si>
  <si>
    <t>Водопроводные сети</t>
  </si>
  <si>
    <t>Скважина</t>
  </si>
  <si>
    <t>Годовая норма  амортизации, %</t>
  </si>
  <si>
    <t>Водоснабжение</t>
  </si>
  <si>
    <t>Водоотведение</t>
  </si>
  <si>
    <t>Канализационные сети</t>
  </si>
  <si>
    <t>материалы (ремонт)</t>
  </si>
  <si>
    <t>план на 2016 год</t>
  </si>
  <si>
    <t>Аптечка, моющие средства</t>
  </si>
  <si>
    <t>Светильник переносной</t>
  </si>
  <si>
    <t>Молоток слесарный</t>
  </si>
  <si>
    <t>Набор ключей</t>
  </si>
  <si>
    <t>Набор слесарно-монтажных инструментов</t>
  </si>
  <si>
    <t>Кувалда</t>
  </si>
  <si>
    <t>Ведро оцинкованное</t>
  </si>
  <si>
    <t>Щетка для пола</t>
  </si>
  <si>
    <t>Предупредительная лента</t>
  </si>
  <si>
    <t>Жилет сигнальный</t>
  </si>
  <si>
    <t>Каска</t>
  </si>
  <si>
    <t>Ножовка по металлу, напильники, электроды</t>
  </si>
  <si>
    <t>Охрана труда</t>
  </si>
  <si>
    <t>Костюм утепленный</t>
  </si>
  <si>
    <t>Ркавицы комбинированные</t>
  </si>
  <si>
    <t>Перчатки резиновые</t>
  </si>
  <si>
    <t>Сапоги</t>
  </si>
  <si>
    <t>Перчатки</t>
  </si>
  <si>
    <t>Костюм Дока-1</t>
  </si>
  <si>
    <t>Костюм сварщика усиленный</t>
  </si>
  <si>
    <t>Цена, тыс. руб. (с инд. 4% с 2015 г.)</t>
  </si>
  <si>
    <t>на операторов насос. уст-ки (ВС)</t>
  </si>
  <si>
    <t>Костюм х/б, в т.ч.</t>
  </si>
  <si>
    <t>на ВС</t>
  </si>
  <si>
    <t>ИТОГО без ВС</t>
  </si>
  <si>
    <t>на ВО</t>
  </si>
  <si>
    <t>ФБУЗ "Центр гигиены и эпидемиологии в Костромской области в Нерехтском районе"</t>
  </si>
  <si>
    <t>в соответствии с планом-графиком</t>
  </si>
  <si>
    <t xml:space="preserve">Наименование </t>
  </si>
  <si>
    <t>Итого</t>
  </si>
  <si>
    <t>расчет тр-го налога на 2016 год</t>
  </si>
  <si>
    <t>УАЗ 22069</t>
  </si>
  <si>
    <t>УАЗ 31512</t>
  </si>
  <si>
    <t>сумма налога, тыс. руб.</t>
  </si>
  <si>
    <t>Содержание офиса</t>
  </si>
  <si>
    <t>командировочные расходы</t>
  </si>
  <si>
    <t>Подписка</t>
  </si>
  <si>
    <t>Канцтовары, почтовые услуги</t>
  </si>
  <si>
    <t>Обслуживание офисного оборудования</t>
  </si>
  <si>
    <t>Услуги связи (телефон, интрнет, факс)</t>
  </si>
  <si>
    <t>Услуги информцентра</t>
  </si>
  <si>
    <t>Услуги банка (ведение счета, сбор платежей населениея)</t>
  </si>
  <si>
    <t>Проездные билеты</t>
  </si>
  <si>
    <t>ГСМ</t>
  </si>
  <si>
    <t>Запчасти, ремонтные материалы</t>
  </si>
  <si>
    <t>Сумма, тыс. руб</t>
  </si>
  <si>
    <t>Медосмотр</t>
  </si>
  <si>
    <t>Запчасти, резина на трактор и автомашины</t>
  </si>
  <si>
    <t>Сумма, тыс. рублей</t>
  </si>
  <si>
    <t>Диз. Топливо</t>
  </si>
  <si>
    <t>Материалы на хоз. Нужды цехов</t>
  </si>
  <si>
    <t>на ВС всего</t>
  </si>
  <si>
    <t>на ВО всего</t>
  </si>
  <si>
    <t>ГСМ на машину для перевозки ремонтных рабочих</t>
  </si>
  <si>
    <t>Ремонт канализационных сетей</t>
  </si>
  <si>
    <t>Частичная замена трубопровода</t>
  </si>
  <si>
    <t>Ремонт насоса ЭЦВ</t>
  </si>
  <si>
    <t>Ремонт заграждения 5-ти скважин</t>
  </si>
  <si>
    <t>Ремонт запорной арматуры</t>
  </si>
  <si>
    <t>Ремонт частотного преобразовантеля</t>
  </si>
  <si>
    <t>Замена эл. Счетчиков на скважинах</t>
  </si>
  <si>
    <t>аренда (имущество)</t>
  </si>
  <si>
    <t>ремонт объектов централизованной системы ВС</t>
  </si>
  <si>
    <t>мероприятия по улучшению качества питьевой воды</t>
  </si>
  <si>
    <t>пропущено через собственные очистные сооружения</t>
  </si>
  <si>
    <t>ремонт объектов централизованной системы ВО</t>
  </si>
  <si>
    <t>мероприятия по улучшению качества очистки сточных вод</t>
  </si>
  <si>
    <t xml:space="preserve">Переброска затрат с водоснабжения(общехозяйственные ) </t>
  </si>
  <si>
    <t>на 2015 год пропорционально заработной плате ОПР</t>
  </si>
  <si>
    <t>ЗП ОПР всего</t>
  </si>
  <si>
    <t>ЗП ОПР по ВС</t>
  </si>
  <si>
    <t>ЗП ОПР по ВО</t>
  </si>
  <si>
    <t xml:space="preserve">% по ВС </t>
  </si>
  <si>
    <t>% по ВО</t>
  </si>
  <si>
    <t>РЕМОНТНЫЕ (ВС)</t>
  </si>
  <si>
    <t>РЕМОНТНЫЕ (ВО)</t>
  </si>
  <si>
    <t>Слесарь АВР</t>
  </si>
  <si>
    <t>Электрогазосварщик</t>
  </si>
  <si>
    <t>Слесарь-ремонтник</t>
  </si>
  <si>
    <t>от 15% до 44%</t>
  </si>
  <si>
    <t>Энергетик</t>
  </si>
  <si>
    <t>Машинист насосных установок (1 подъем)</t>
  </si>
  <si>
    <t>Машинист насосных установок (2 подъем)</t>
  </si>
  <si>
    <t>Аппаратчик очистки сточных вод</t>
  </si>
  <si>
    <t>ЗП ОПР Содержание</t>
  </si>
  <si>
    <t>01.01.2016 - 30.06.2016</t>
  </si>
  <si>
    <t>01.07.2016 - 31.12.2016</t>
  </si>
  <si>
    <t>01.01.2017 - 30.06.2017</t>
  </si>
  <si>
    <t>01.07.2017 - 31.12.2017</t>
  </si>
  <si>
    <t>01.01.2018 - 30.06.2018</t>
  </si>
  <si>
    <t>01.07.2018 - 31.12.2018</t>
  </si>
  <si>
    <t>9 мес. 2016г</t>
  </si>
  <si>
    <t>факт 2015г</t>
  </si>
  <si>
    <t>9 мес 2016г</t>
  </si>
  <si>
    <t>МУП ГП пос. Красное -на-Волге "Чистая вода" 
УСНО
ВОДООТВЕДЕНИЕ</t>
  </si>
  <si>
    <t>Расчет тарифов на водоотведение на 2016-2018 годы</t>
  </si>
  <si>
    <t>МУП ГП пос. Красное -на-Волге "Чистая вода" 
УСНО
ВОДОСНАБЖЕНИЕ</t>
  </si>
  <si>
    <t>2017 год план</t>
  </si>
  <si>
    <t>2017 год корр</t>
  </si>
  <si>
    <t>налог по УСНО (дох.-расх)1%</t>
  </si>
  <si>
    <t>уд.расход на подачу в сеть по НН</t>
  </si>
  <si>
    <t>3.1.2</t>
  </si>
  <si>
    <t>уд.расход на подачу в сеть по СН-2</t>
  </si>
  <si>
    <t>2016 год базовый уровень</t>
  </si>
  <si>
    <t>налог по УСНО (дох.-расх)</t>
  </si>
  <si>
    <t>факт 2016</t>
  </si>
  <si>
    <t>Факт 9 месяцев 2017 года</t>
  </si>
  <si>
    <t>аренда трансформаторной подстанции</t>
  </si>
  <si>
    <t>в месяц</t>
  </si>
  <si>
    <t>с садовым товариществом "Рябиновая ветка"</t>
  </si>
  <si>
    <t>адм.Красносельского муниципал.р-на</t>
  </si>
  <si>
    <t>аренда сетей,насосы, котельные</t>
  </si>
  <si>
    <t>срок до 31.03.2016</t>
  </si>
  <si>
    <t>Гусева Севда Анваровна</t>
  </si>
  <si>
    <t>до 01.07.2016 с пролонгацией</t>
  </si>
  <si>
    <t>сети, насос…</t>
  </si>
  <si>
    <t xml:space="preserve">расчёт от Q </t>
  </si>
  <si>
    <t>год</t>
  </si>
  <si>
    <t>Аренда имущества</t>
  </si>
  <si>
    <t>Аренда земли</t>
  </si>
  <si>
    <t>Адм.Красносельского муниципал.р-на</t>
  </si>
  <si>
    <t>договор № 5647
пос,ул.Ленина сооружение 1. для строй.артскважины</t>
  </si>
  <si>
    <t>№ 5758 от 13.10.2015
пос., мкр Восточный сооружение № 7 А (позже 2Б). для строй артскваж.</t>
  </si>
  <si>
    <t>№ 5759 от 13.10.2015
пос., мкр Восточный сооруж. №2 Б (позже сооруж. 7А). Строй.арт.скважины</t>
  </si>
  <si>
    <t>адм. Г.п.п. Красное-на-Волге</t>
  </si>
  <si>
    <t>№42 от 01.02.2016
пос., шоссе Волжское стр.1 (коммунальное обслуживание)</t>
  </si>
  <si>
    <t>№43 от 01.02.2016
пос., шоссе Волжское стр.3 (коммунальное обслуживание)</t>
  </si>
  <si>
    <t>№49 от 04.03.2016
пос., п.Птицефабрика, уч. 32А (коммунальное обслуживание)</t>
  </si>
  <si>
    <t>+</t>
  </si>
  <si>
    <t>4.6</t>
  </si>
  <si>
    <t>аренда земельных участков</t>
  </si>
  <si>
    <t>Невыполнение ПП</t>
  </si>
  <si>
    <t>скважина</t>
  </si>
  <si>
    <t>более актуально, это всё в хоз ведении</t>
  </si>
  <si>
    <t xml:space="preserve">                      БАЛАНС ВОДОСНАБЖЕНИЯ</t>
  </si>
  <si>
    <t xml:space="preserve">                            СМЕТА РАСХОДОВ</t>
  </si>
  <si>
    <t xml:space="preserve">            БАЛАНС ВОДООТВЕДЕНИЯ</t>
  </si>
  <si>
    <t xml:space="preserve">                    СМЕТА РАСХОДОВ</t>
  </si>
  <si>
    <t>2016 год (базовый уровень)</t>
  </si>
  <si>
    <t>Расчет ДРЦТ</t>
  </si>
  <si>
    <t xml:space="preserve">индекс потребительских цен </t>
  </si>
  <si>
    <t>электроэнергию</t>
  </si>
  <si>
    <t>Текущие расходы</t>
  </si>
  <si>
    <t xml:space="preserve">I. </t>
  </si>
  <si>
    <t>Корректировка тарифов на водоснабжение МУП ГП. П.Красное-на-Волге "Чистая вода" на 2018 год</t>
  </si>
  <si>
    <t>Корректировка тарифов на водоотведение  МУП ГП. П.Красное-на-Волге "Чистая вода" на 2018 год</t>
  </si>
  <si>
    <t>Потери</t>
  </si>
  <si>
    <r>
      <t xml:space="preserve">индекс количества активов </t>
    </r>
    <r>
      <rPr>
        <i/>
        <sz val="12"/>
        <color theme="1"/>
        <rFont val="Times New Roman"/>
        <family val="1"/>
        <charset val="204"/>
      </rPr>
      <t>(только для транзитных)</t>
    </r>
  </si>
  <si>
    <t>2018 год (корректировка)</t>
  </si>
  <si>
    <t>План</t>
  </si>
  <si>
    <t>Факт</t>
  </si>
  <si>
    <t>Электроэнергия</t>
  </si>
  <si>
    <t>Установлено ДРЦТ</t>
  </si>
  <si>
    <t>расчет</t>
  </si>
  <si>
    <t>договор</t>
  </si>
  <si>
    <t xml:space="preserve">отклонение к  плану </t>
  </si>
  <si>
    <t>2017 г.</t>
  </si>
  <si>
    <t>2018 г.</t>
  </si>
  <si>
    <t>Скважина микр.Восточный</t>
  </si>
  <si>
    <t>Павильон насосных станций микр.Восточный</t>
  </si>
  <si>
    <t>Ограждение у скважины мкр.Восточный</t>
  </si>
  <si>
    <t>Скважина (птицефабрика)</t>
  </si>
  <si>
    <t>остаточная ст-ть на 31.12.2016</t>
  </si>
  <si>
    <t>начислено амортиазации за 1 полугодие</t>
  </si>
  <si>
    <t>2017 год</t>
  </si>
  <si>
    <t>остаточная ст-ть на 31.12.2017</t>
  </si>
</sst>
</file>

<file path=xl/styles.xml><?xml version="1.0" encoding="utf-8"?>
<styleSheet xmlns="http://schemas.openxmlformats.org/spreadsheetml/2006/main">
  <numFmts count="1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%"/>
    <numFmt numFmtId="167" formatCode="_(* #,##0.00_);_(* \(#,##0.00\);_(* &quot;-&quot;??_);_(@_)"/>
    <numFmt numFmtId="168" formatCode="_-* #,##0_р_._-;\-* #,##0_р_._-;_-* &quot;-&quot;??_р_._-;_-@_-"/>
    <numFmt numFmtId="169" formatCode="_(* #,##0.0_);_(* \(#,##0.0\);_(* &quot;-&quot;??_);_(@_)"/>
    <numFmt numFmtId="170" formatCode="_(* #,##0_);_(* \(#,##0\);_(* &quot;-&quot;??_);_(@_)"/>
    <numFmt numFmtId="171" formatCode="0.0000"/>
    <numFmt numFmtId="172" formatCode="0.0"/>
    <numFmt numFmtId="173" formatCode="0.00000"/>
    <numFmt numFmtId="174" formatCode="_-* #,##0.0_р_._-;\-* #,##0.0_р_._-;_-* &quot;-&quot;??_р_._-;_-@_-"/>
  </numFmts>
  <fonts count="7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Jokerman"/>
      <family val="5"/>
    </font>
    <font>
      <b/>
      <sz val="10"/>
      <name val="Arial Cyr"/>
      <charset val="204"/>
    </font>
    <font>
      <sz val="14"/>
      <name val="Forte"/>
      <family val="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b/>
      <sz val="10"/>
      <name val="Helv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Ravie"/>
      <family val="5"/>
    </font>
    <font>
      <sz val="12"/>
      <name val="Showcard Gothic"/>
      <family val="5"/>
    </font>
    <font>
      <b/>
      <sz val="12"/>
      <name val="Showcard Gothic"/>
      <family val="5"/>
    </font>
    <font>
      <b/>
      <u val="singleAccounting"/>
      <sz val="10"/>
      <name val="Helv"/>
      <charset val="204"/>
    </font>
    <font>
      <sz val="10"/>
      <name val="Showcard Gothic"/>
      <family val="5"/>
    </font>
    <font>
      <sz val="20"/>
      <name val="Showcard Gothic"/>
      <family val="5"/>
    </font>
    <font>
      <sz val="10"/>
      <color rgb="FFFF0000"/>
      <name val="Arial Cyr"/>
      <charset val="204"/>
    </font>
    <font>
      <b/>
      <sz val="14"/>
      <color theme="1"/>
      <name val="Old English Text MT"/>
      <family val="4"/>
    </font>
    <font>
      <sz val="16"/>
      <color theme="1"/>
      <name val="Jokerman"/>
      <family val="5"/>
    </font>
    <font>
      <b/>
      <sz val="11"/>
      <color theme="1"/>
      <name val="Showcard Gothic"/>
      <family val="5"/>
    </font>
    <font>
      <b/>
      <sz val="11"/>
      <color theme="1"/>
      <name val="Calibri"/>
      <family val="2"/>
      <charset val="204"/>
      <scheme val="minor"/>
    </font>
    <font>
      <b/>
      <sz val="12"/>
      <color indexed="12"/>
      <name val="Showcard Gothic"/>
      <family val="5"/>
    </font>
    <font>
      <b/>
      <sz val="12"/>
      <name val="Showcard Gothic"/>
      <family val="5"/>
    </font>
    <font>
      <b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color indexed="57"/>
      <name val="Arial"/>
      <family val="2"/>
      <charset val="204"/>
    </font>
    <font>
      <sz val="14"/>
      <color theme="1"/>
      <name val="Arial Black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20"/>
      </right>
      <top style="double">
        <color indexed="20"/>
      </top>
      <bottom style="double">
        <color indexed="20"/>
      </bottom>
      <diagonal/>
    </border>
    <border>
      <left style="double">
        <color indexed="20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double">
        <color indexed="20"/>
      </left>
      <right/>
      <top style="double">
        <color indexed="20"/>
      </top>
      <bottom style="double">
        <color indexed="20"/>
      </bottom>
      <diagonal/>
    </border>
    <border>
      <left style="double">
        <color indexed="1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66FF"/>
      </left>
      <right style="double">
        <color rgb="FFFF66FF"/>
      </right>
      <top style="double">
        <color rgb="FFFF66FF"/>
      </top>
      <bottom style="double">
        <color rgb="FFFF66FF"/>
      </bottom>
      <diagonal/>
    </border>
    <border>
      <left/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4" fillId="0" borderId="0"/>
    <xf numFmtId="0" fontId="24" fillId="0" borderId="0"/>
    <xf numFmtId="43" fontId="13" fillId="0" borderId="0" applyFont="0" applyFill="0" applyBorder="0" applyAlignment="0" applyProtection="0"/>
  </cellStyleXfs>
  <cellXfs count="573">
    <xf numFmtId="0" fontId="0" fillId="0" borderId="0" xfId="0"/>
    <xf numFmtId="0" fontId="1" fillId="0" borderId="0" xfId="0" applyFont="1" applyFill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9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2" fontId="16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2" fontId="0" fillId="0" borderId="0" xfId="0" applyNumberFormat="1" applyBorder="1"/>
    <xf numFmtId="2" fontId="16" fillId="0" borderId="0" xfId="0" applyNumberFormat="1" applyFont="1" applyBorder="1"/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wrapText="1"/>
    </xf>
    <xf numFmtId="1" fontId="18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 applyAlignment="1"/>
    <xf numFmtId="0" fontId="3" fillId="0" borderId="0" xfId="0" applyFont="1" applyFill="1"/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22" fillId="0" borderId="0" xfId="0" applyFont="1"/>
    <xf numFmtId="9" fontId="8" fillId="0" borderId="1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2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8" fillId="3" borderId="1" xfId="3" applyNumberFormat="1" applyFont="1" applyFill="1" applyBorder="1" applyAlignment="1">
      <alignment vertical="center" wrapText="1"/>
    </xf>
    <xf numFmtId="167" fontId="8" fillId="3" borderId="1" xfId="3" applyNumberFormat="1" applyFont="1" applyFill="1" applyBorder="1" applyAlignment="1">
      <alignment vertical="center" wrapText="1"/>
    </xf>
    <xf numFmtId="169" fontId="8" fillId="3" borderId="1" xfId="3" applyNumberFormat="1" applyFont="1" applyFill="1" applyBorder="1" applyAlignment="1">
      <alignment vertical="center" wrapText="1"/>
    </xf>
    <xf numFmtId="43" fontId="8" fillId="3" borderId="1" xfId="3" applyFont="1" applyFill="1" applyBorder="1" applyAlignment="1">
      <alignment vertical="center" wrapText="1"/>
    </xf>
    <xf numFmtId="43" fontId="21" fillId="3" borderId="1" xfId="3" applyFont="1" applyFill="1" applyBorder="1" applyAlignment="1">
      <alignment vertical="center" wrapText="1"/>
    </xf>
    <xf numFmtId="43" fontId="8" fillId="0" borderId="1" xfId="3" applyFont="1" applyFill="1" applyBorder="1" applyAlignment="1">
      <alignment vertical="center" wrapText="1"/>
    </xf>
    <xf numFmtId="167" fontId="8" fillId="4" borderId="1" xfId="3" applyNumberFormat="1" applyFont="1" applyFill="1" applyBorder="1" applyAlignment="1">
      <alignment vertical="center" wrapText="1"/>
    </xf>
    <xf numFmtId="169" fontId="8" fillId="0" borderId="1" xfId="3" applyNumberFormat="1" applyFont="1" applyFill="1" applyBorder="1" applyAlignment="1">
      <alignment vertical="center" wrapText="1"/>
    </xf>
    <xf numFmtId="43" fontId="21" fillId="0" borderId="1" xfId="3" applyFont="1" applyFill="1" applyBorder="1" applyAlignment="1">
      <alignment vertical="center" wrapText="1"/>
    </xf>
    <xf numFmtId="43" fontId="20" fillId="2" borderId="1" xfId="3" applyFont="1" applyFill="1" applyBorder="1" applyAlignment="1">
      <alignment vertical="center" wrapText="1"/>
    </xf>
    <xf numFmtId="43" fontId="8" fillId="0" borderId="9" xfId="3" applyFont="1" applyFill="1" applyBorder="1" applyAlignment="1">
      <alignment vertical="center" wrapText="1"/>
    </xf>
    <xf numFmtId="169" fontId="8" fillId="0" borderId="9" xfId="3" applyNumberFormat="1" applyFont="1" applyFill="1" applyBorder="1" applyAlignment="1">
      <alignment vertical="center" wrapText="1"/>
    </xf>
    <xf numFmtId="43" fontId="21" fillId="0" borderId="9" xfId="3" applyFont="1" applyFill="1" applyBorder="1" applyAlignment="1">
      <alignment vertical="center" wrapText="1"/>
    </xf>
    <xf numFmtId="43" fontId="8" fillId="3" borderId="4" xfId="3" applyFont="1" applyFill="1" applyBorder="1" applyAlignment="1">
      <alignment vertical="center" wrapText="1"/>
    </xf>
    <xf numFmtId="169" fontId="8" fillId="4" borderId="1" xfId="3" applyNumberFormat="1" applyFont="1" applyFill="1" applyBorder="1" applyAlignment="1">
      <alignment vertical="center" wrapText="1"/>
    </xf>
    <xf numFmtId="43" fontId="8" fillId="0" borderId="4" xfId="3" applyFont="1" applyFill="1" applyBorder="1" applyAlignment="1">
      <alignment vertical="center" wrapText="1"/>
    </xf>
    <xf numFmtId="43" fontId="8" fillId="0" borderId="0" xfId="3" applyFont="1" applyFill="1" applyBorder="1" applyAlignment="1">
      <alignment vertical="center" wrapText="1"/>
    </xf>
    <xf numFmtId="169" fontId="8" fillId="0" borderId="0" xfId="3" applyNumberFormat="1" applyFont="1" applyFill="1" applyBorder="1" applyAlignment="1">
      <alignment vertical="center" wrapText="1"/>
    </xf>
    <xf numFmtId="2" fontId="8" fillId="3" borderId="1" xfId="3" applyNumberFormat="1" applyFont="1" applyFill="1" applyBorder="1" applyAlignment="1">
      <alignment horizontal="center" vertical="center" wrapText="1"/>
    </xf>
    <xf numFmtId="170" fontId="8" fillId="3" borderId="1" xfId="3" applyNumberFormat="1" applyFont="1" applyFill="1" applyBorder="1" applyAlignment="1">
      <alignment horizontal="center" vertical="center" wrapText="1"/>
    </xf>
    <xf numFmtId="167" fontId="8" fillId="0" borderId="1" xfId="3" applyNumberFormat="1" applyFont="1" applyFill="1" applyBorder="1" applyAlignment="1">
      <alignment vertical="center" wrapText="1"/>
    </xf>
    <xf numFmtId="167" fontId="21" fillId="0" borderId="1" xfId="3" applyNumberFormat="1" applyFont="1" applyFill="1" applyBorder="1" applyAlignment="1">
      <alignment vertical="center" wrapText="1"/>
    </xf>
    <xf numFmtId="167" fontId="20" fillId="2" borderId="1" xfId="3" applyNumberFormat="1" applyFont="1" applyFill="1" applyBorder="1" applyAlignment="1">
      <alignment vertical="center" wrapText="1"/>
    </xf>
    <xf numFmtId="167" fontId="8" fillId="3" borderId="1" xfId="0" applyNumberFormat="1" applyFont="1" applyFill="1" applyBorder="1" applyAlignment="1">
      <alignment vertical="center" wrapText="1"/>
    </xf>
    <xf numFmtId="167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2" fontId="22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3" fontId="29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43" fontId="29" fillId="5" borderId="0" xfId="0" applyNumberFormat="1" applyFont="1" applyFill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2" fontId="22" fillId="0" borderId="0" xfId="0" applyNumberFormat="1" applyFont="1" applyFill="1" applyAlignment="1">
      <alignment horizontal="center" vertical="center"/>
    </xf>
    <xf numFmtId="44" fontId="8" fillId="0" borderId="0" xfId="0" applyNumberFormat="1" applyFont="1" applyFill="1"/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30" fillId="0" borderId="0" xfId="0" applyFont="1"/>
    <xf numFmtId="43" fontId="29" fillId="0" borderId="0" xfId="0" applyNumberFormat="1" applyFont="1" applyFill="1"/>
    <xf numFmtId="0" fontId="31" fillId="0" borderId="0" xfId="0" applyFont="1"/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4" applyBorder="1" applyAlignment="1">
      <alignment horizontal="left" indent="15"/>
    </xf>
    <xf numFmtId="0" fontId="24" fillId="0" borderId="0" xfId="4" applyBorder="1" applyAlignment="1">
      <alignment horizontal="center"/>
    </xf>
    <xf numFmtId="0" fontId="24" fillId="0" borderId="0" xfId="4" applyBorder="1"/>
    <xf numFmtId="0" fontId="24" fillId="0" borderId="0" xfId="4" applyFont="1" applyBorder="1"/>
    <xf numFmtId="0" fontId="25" fillId="0" borderId="0" xfId="4" applyFont="1" applyBorder="1" applyAlignment="1"/>
    <xf numFmtId="0" fontId="25" fillId="0" borderId="0" xfId="4" applyFont="1" applyBorder="1" applyAlignment="1">
      <alignment horizontal="center"/>
    </xf>
    <xf numFmtId="0" fontId="24" fillId="0" borderId="0" xfId="4" applyBorder="1" applyAlignment="1"/>
    <xf numFmtId="0" fontId="24" fillId="0" borderId="0" xfId="4" applyFont="1" applyBorder="1" applyAlignment="1">
      <alignment wrapText="1"/>
    </xf>
    <xf numFmtId="0" fontId="24" fillId="0" borderId="0" xfId="4" applyFont="1" applyBorder="1" applyAlignment="1">
      <alignment horizontal="center" wrapText="1"/>
    </xf>
    <xf numFmtId="172" fontId="24" fillId="0" borderId="0" xfId="4" applyNumberFormat="1" applyBorder="1" applyAlignment="1">
      <alignment horizontal="center"/>
    </xf>
    <xf numFmtId="2" fontId="24" fillId="0" borderId="0" xfId="4" applyNumberFormat="1" applyBorder="1" applyAlignment="1">
      <alignment horizontal="center"/>
    </xf>
    <xf numFmtId="2" fontId="25" fillId="0" borderId="0" xfId="4" applyNumberFormat="1" applyFont="1" applyBorder="1" applyAlignment="1">
      <alignment horizontal="center"/>
    </xf>
    <xf numFmtId="0" fontId="25" fillId="0" borderId="0" xfId="4" applyFont="1" applyBorder="1"/>
    <xf numFmtId="0" fontId="25" fillId="0" borderId="0" xfId="4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24" fillId="0" borderId="0" xfId="4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9" fontId="22" fillId="0" borderId="0" xfId="1" applyFont="1" applyFill="1"/>
    <xf numFmtId="165" fontId="5" fillId="0" borderId="1" xfId="1" applyNumberFormat="1" applyFont="1" applyFill="1" applyBorder="1" applyAlignment="1">
      <alignment vertical="center"/>
    </xf>
    <xf numFmtId="0" fontId="24" fillId="0" borderId="1" xfId="5" applyBorder="1" applyAlignment="1">
      <alignment horizontal="center" vertical="center" wrapText="1"/>
    </xf>
    <xf numFmtId="0" fontId="33" fillId="0" borderId="0" xfId="0" applyFont="1" applyAlignment="1">
      <alignment wrapText="1"/>
    </xf>
    <xf numFmtId="2" fontId="33" fillId="0" borderId="0" xfId="0" applyNumberFormat="1" applyFont="1" applyAlignment="1">
      <alignment wrapText="1"/>
    </xf>
    <xf numFmtId="2" fontId="35" fillId="0" borderId="0" xfId="0" applyNumberFormat="1" applyFont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26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 wrapText="1"/>
    </xf>
    <xf numFmtId="2" fontId="7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167" fontId="8" fillId="0" borderId="0" xfId="0" applyNumberFormat="1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7" fontId="9" fillId="3" borderId="1" xfId="3" applyNumberFormat="1" applyFont="1" applyFill="1" applyBorder="1" applyAlignment="1">
      <alignment vertical="center" wrapText="1"/>
    </xf>
    <xf numFmtId="43" fontId="9" fillId="3" borderId="1" xfId="3" applyFont="1" applyFill="1" applyBorder="1" applyAlignment="1">
      <alignment vertical="center" wrapText="1"/>
    </xf>
    <xf numFmtId="0" fontId="36" fillId="0" borderId="0" xfId="0" applyFont="1" applyAlignment="1">
      <alignment wrapText="1"/>
    </xf>
    <xf numFmtId="2" fontId="36" fillId="0" borderId="0" xfId="0" applyNumberFormat="1" applyFont="1" applyAlignment="1">
      <alignment wrapText="1"/>
    </xf>
    <xf numFmtId="0" fontId="36" fillId="0" borderId="0" xfId="0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center"/>
    </xf>
    <xf numFmtId="167" fontId="8" fillId="0" borderId="0" xfId="3" applyNumberFormat="1" applyFont="1" applyFill="1" applyBorder="1" applyAlignment="1">
      <alignment vertical="center" wrapText="1"/>
    </xf>
    <xf numFmtId="167" fontId="21" fillId="0" borderId="0" xfId="3" applyNumberFormat="1" applyFont="1" applyFill="1" applyBorder="1" applyAlignment="1">
      <alignment vertical="center" wrapText="1"/>
    </xf>
    <xf numFmtId="0" fontId="23" fillId="9" borderId="0" xfId="0" applyFont="1" applyFill="1" applyAlignment="1">
      <alignment horizontal="center"/>
    </xf>
    <xf numFmtId="43" fontId="29" fillId="9" borderId="0" xfId="0" applyNumberFormat="1" applyFont="1" applyFill="1"/>
    <xf numFmtId="0" fontId="23" fillId="9" borderId="0" xfId="0" applyFont="1" applyFill="1"/>
    <xf numFmtId="0" fontId="23" fillId="9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9" fillId="0" borderId="0" xfId="0" applyFont="1"/>
    <xf numFmtId="0" fontId="23" fillId="0" borderId="0" xfId="0" applyFont="1"/>
    <xf numFmtId="0" fontId="23" fillId="10" borderId="0" xfId="0" applyFont="1" applyFill="1" applyAlignment="1">
      <alignment horizontal="center"/>
    </xf>
    <xf numFmtId="43" fontId="29" fillId="10" borderId="0" xfId="0" applyNumberFormat="1" applyFont="1" applyFill="1"/>
    <xf numFmtId="0" fontId="23" fillId="10" borderId="0" xfId="0" applyFont="1" applyFill="1"/>
    <xf numFmtId="0" fontId="23" fillId="10" borderId="0" xfId="0" applyFont="1" applyFill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11" borderId="0" xfId="0" applyFont="1" applyFill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0" fontId="28" fillId="0" borderId="20" xfId="1" applyNumberFormat="1" applyFont="1" applyBorder="1" applyAlignment="1">
      <alignment horizontal="center" vertical="center" wrapText="1"/>
    </xf>
    <xf numFmtId="10" fontId="28" fillId="0" borderId="19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8" fontId="9" fillId="3" borderId="1" xfId="3" applyNumberFormat="1" applyFont="1" applyFill="1" applyBorder="1" applyAlignment="1">
      <alignment vertical="center" wrapText="1"/>
    </xf>
    <xf numFmtId="169" fontId="9" fillId="3" borderId="1" xfId="3" applyNumberFormat="1" applyFont="1" applyFill="1" applyBorder="1" applyAlignment="1">
      <alignment vertical="center" wrapText="1"/>
    </xf>
    <xf numFmtId="165" fontId="18" fillId="0" borderId="1" xfId="1" applyNumberFormat="1" applyFont="1" applyBorder="1" applyAlignment="1">
      <alignment wrapText="1"/>
    </xf>
    <xf numFmtId="2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2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7" borderId="0" xfId="0" applyFill="1"/>
    <xf numFmtId="2" fontId="0" fillId="7" borderId="0" xfId="0" applyNumberFormat="1" applyFill="1"/>
    <xf numFmtId="0" fontId="4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5" xfId="0" applyFont="1" applyBorder="1"/>
    <xf numFmtId="2" fontId="44" fillId="0" borderId="16" xfId="0" applyNumberFormat="1" applyFont="1" applyBorder="1"/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/>
    <xf numFmtId="2" fontId="44" fillId="0" borderId="26" xfId="0" applyNumberFormat="1" applyFont="1" applyBorder="1"/>
    <xf numFmtId="0" fontId="4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2" fontId="36" fillId="0" borderId="28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2" fontId="36" fillId="0" borderId="1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2" fontId="0" fillId="8" borderId="23" xfId="0" applyNumberFormat="1" applyFill="1" applyBorder="1" applyAlignment="1">
      <alignment wrapText="1"/>
    </xf>
    <xf numFmtId="2" fontId="0" fillId="8" borderId="27" xfId="0" applyNumberFormat="1" applyFill="1" applyBorder="1" applyAlignment="1">
      <alignment wrapText="1"/>
    </xf>
    <xf numFmtId="2" fontId="0" fillId="8" borderId="28" xfId="0" applyNumberFormat="1" applyFill="1" applyBorder="1" applyAlignment="1">
      <alignment wrapText="1"/>
    </xf>
    <xf numFmtId="0" fontId="0" fillId="12" borderId="10" xfId="0" applyFill="1" applyBorder="1" applyAlignment="1">
      <alignment wrapText="1"/>
    </xf>
    <xf numFmtId="2" fontId="0" fillId="12" borderId="12" xfId="0" applyNumberFormat="1" applyFill="1" applyBorder="1" applyAlignment="1">
      <alignment wrapText="1"/>
    </xf>
    <xf numFmtId="2" fontId="0" fillId="12" borderId="11" xfId="0" applyNumberFormat="1" applyFill="1" applyBorder="1" applyAlignment="1">
      <alignment wrapText="1"/>
    </xf>
    <xf numFmtId="0" fontId="44" fillId="0" borderId="0" xfId="0" applyFont="1" applyAlignment="1">
      <alignment vertical="center" wrapText="1"/>
    </xf>
    <xf numFmtId="0" fontId="0" fillId="12" borderId="0" xfId="0" applyFill="1" applyAlignment="1">
      <alignment horizontal="center" vertical="center" wrapText="1"/>
    </xf>
    <xf numFmtId="2" fontId="0" fillId="12" borderId="0" xfId="0" applyNumberFormat="1" applyFill="1" applyAlignment="1">
      <alignment horizontal="center" vertical="center" wrapText="1"/>
    </xf>
    <xf numFmtId="2" fontId="0" fillId="7" borderId="0" xfId="0" applyNumberFormat="1" applyFill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2" fontId="48" fillId="0" borderId="28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7" fillId="0" borderId="29" xfId="2" applyFont="1" applyBorder="1" applyAlignment="1">
      <alignment horizontal="center" vertical="center" wrapText="1"/>
    </xf>
    <xf numFmtId="0" fontId="27" fillId="0" borderId="30" xfId="2" applyFont="1" applyBorder="1" applyAlignment="1">
      <alignment horizontal="center" vertical="center" wrapText="1"/>
    </xf>
    <xf numFmtId="164" fontId="27" fillId="0" borderId="0" xfId="2" applyNumberFormat="1" applyFont="1" applyAlignment="1">
      <alignment vertical="center" wrapText="1"/>
    </xf>
    <xf numFmtId="164" fontId="27" fillId="0" borderId="0" xfId="2" applyNumberFormat="1" applyFont="1" applyAlignment="1">
      <alignment vertical="center"/>
    </xf>
    <xf numFmtId="2" fontId="27" fillId="0" borderId="0" xfId="2" applyNumberFormat="1" applyFont="1" applyBorder="1" applyAlignment="1">
      <alignment horizontal="center" vertical="center" wrapText="1"/>
    </xf>
    <xf numFmtId="10" fontId="28" fillId="0" borderId="29" xfId="2" applyNumberFormat="1" applyFont="1" applyBorder="1" applyAlignment="1">
      <alignment horizontal="center" vertical="center" wrapText="1"/>
    </xf>
    <xf numFmtId="10" fontId="28" fillId="0" borderId="30" xfId="2" applyNumberFormat="1" applyFont="1" applyBorder="1" applyAlignment="1">
      <alignment horizontal="center" vertical="center" wrapText="1"/>
    </xf>
    <xf numFmtId="43" fontId="20" fillId="0" borderId="0" xfId="3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165" fontId="5" fillId="0" borderId="1" xfId="0" applyNumberFormat="1" applyFont="1" applyFill="1" applyBorder="1"/>
    <xf numFmtId="9" fontId="6" fillId="0" borderId="1" xfId="0" applyNumberFormat="1" applyFont="1" applyFill="1" applyBorder="1" applyAlignment="1">
      <alignment horizontal="center" vertical="center"/>
    </xf>
    <xf numFmtId="0" fontId="5" fillId="0" borderId="37" xfId="0" applyFont="1" applyFill="1" applyBorder="1"/>
    <xf numFmtId="0" fontId="7" fillId="0" borderId="37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3" xfId="0" applyBorder="1"/>
    <xf numFmtId="0" fontId="0" fillId="0" borderId="1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51" fillId="0" borderId="0" xfId="0" applyFont="1" applyFill="1"/>
    <xf numFmtId="2" fontId="11" fillId="0" borderId="1" xfId="0" applyNumberFormat="1" applyFont="1" applyFill="1" applyBorder="1" applyAlignment="1">
      <alignment horizontal="center" vertical="center"/>
    </xf>
    <xf numFmtId="2" fontId="52" fillId="0" borderId="1" xfId="0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52" fillId="0" borderId="1" xfId="1" applyNumberFormat="1" applyFont="1" applyFill="1" applyBorder="1" applyAlignment="1">
      <alignment horizontal="right" vertical="center"/>
    </xf>
    <xf numFmtId="9" fontId="52" fillId="0" borderId="1" xfId="1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36" fillId="0" borderId="0" xfId="0" applyFont="1" applyFill="1" applyAlignment="1"/>
    <xf numFmtId="0" fontId="54" fillId="0" borderId="0" xfId="0" applyFont="1" applyFill="1"/>
    <xf numFmtId="2" fontId="7" fillId="6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right" vertical="center"/>
    </xf>
    <xf numFmtId="49" fontId="57" fillId="0" borderId="1" xfId="0" applyNumberFormat="1" applyFont="1" applyFill="1" applyBorder="1" applyAlignment="1">
      <alignment horizontal="right" vertical="center"/>
    </xf>
    <xf numFmtId="0" fontId="55" fillId="0" borderId="1" xfId="0" applyFont="1" applyFill="1" applyBorder="1"/>
    <xf numFmtId="0" fontId="18" fillId="0" borderId="1" xfId="0" applyFont="1" applyFill="1" applyBorder="1"/>
    <xf numFmtId="0" fontId="57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0" fontId="59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right" wrapText="1"/>
    </xf>
    <xf numFmtId="49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vertical="center"/>
    </xf>
    <xf numFmtId="0" fontId="57" fillId="0" borderId="1" xfId="0" applyFont="1" applyFill="1" applyBorder="1" applyAlignment="1">
      <alignment horizontal="right" vertical="center" wrapText="1"/>
    </xf>
    <xf numFmtId="0" fontId="57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right" vertical="center"/>
    </xf>
    <xf numFmtId="0" fontId="63" fillId="0" borderId="1" xfId="0" applyFont="1" applyFill="1" applyBorder="1"/>
    <xf numFmtId="0" fontId="53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7" fillId="8" borderId="1" xfId="0" applyNumberFormat="1" applyFont="1" applyFill="1" applyBorder="1" applyAlignment="1">
      <alignment horizontal="center"/>
    </xf>
    <xf numFmtId="0" fontId="53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0" fontId="53" fillId="6" borderId="1" xfId="0" applyFont="1" applyFill="1" applyBorder="1" applyAlignment="1">
      <alignment horizontal="center"/>
    </xf>
    <xf numFmtId="2" fontId="53" fillId="6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center" vertical="center" wrapText="1"/>
    </xf>
    <xf numFmtId="10" fontId="18" fillId="0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Fill="1" applyBorder="1" applyAlignment="1">
      <alignment horizontal="center" vertical="center" wrapText="1"/>
    </xf>
    <xf numFmtId="2" fontId="57" fillId="0" borderId="1" xfId="0" applyNumberFormat="1" applyFont="1" applyFill="1" applyBorder="1" applyAlignment="1">
      <alignment horizontal="right" vertical="center"/>
    </xf>
    <xf numFmtId="2" fontId="57" fillId="0" borderId="1" xfId="0" applyNumberFormat="1" applyFont="1" applyFill="1" applyBorder="1" applyAlignment="1">
      <alignment vertical="center" wrapText="1"/>
    </xf>
    <xf numFmtId="2" fontId="57" fillId="0" borderId="1" xfId="0" applyNumberFormat="1" applyFont="1" applyFill="1" applyBorder="1" applyAlignment="1">
      <alignment horizontal="right" vertical="center" wrapText="1"/>
    </xf>
    <xf numFmtId="2" fontId="53" fillId="8" borderId="1" xfId="0" applyNumberFormat="1" applyFont="1" applyFill="1" applyBorder="1" applyAlignment="1">
      <alignment horizontal="center"/>
    </xf>
    <xf numFmtId="164" fontId="53" fillId="8" borderId="1" xfId="0" applyNumberFormat="1" applyFont="1" applyFill="1" applyBorder="1" applyAlignment="1">
      <alignment horizontal="center"/>
    </xf>
    <xf numFmtId="171" fontId="53" fillId="8" borderId="1" xfId="0" applyNumberFormat="1" applyFont="1" applyFill="1" applyBorder="1" applyAlignment="1">
      <alignment horizontal="center"/>
    </xf>
    <xf numFmtId="165" fontId="59" fillId="0" borderId="1" xfId="1" applyNumberFormat="1" applyFont="1" applyFill="1" applyBorder="1" applyAlignment="1">
      <alignment horizontal="center" vertical="center"/>
    </xf>
    <xf numFmtId="2" fontId="59" fillId="0" borderId="1" xfId="0" applyNumberFormat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right" vertical="center"/>
    </xf>
    <xf numFmtId="2" fontId="18" fillId="0" borderId="1" xfId="0" applyNumberFormat="1" applyFont="1" applyFill="1" applyBorder="1" applyAlignment="1">
      <alignment horizontal="right" vertical="center"/>
    </xf>
    <xf numFmtId="9" fontId="18" fillId="0" borderId="1" xfId="1" applyNumberFormat="1" applyFont="1" applyFill="1" applyBorder="1" applyAlignment="1">
      <alignment horizontal="right" vertical="center"/>
    </xf>
    <xf numFmtId="2" fontId="53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/>
    <xf numFmtId="164" fontId="53" fillId="0" borderId="1" xfId="0" applyNumberFormat="1" applyFont="1" applyFill="1" applyBorder="1" applyAlignment="1">
      <alignment horizontal="center" vertical="center"/>
    </xf>
    <xf numFmtId="2" fontId="57" fillId="0" borderId="1" xfId="0" applyNumberFormat="1" applyFont="1" applyFill="1" applyBorder="1" applyAlignment="1">
      <alignment vertical="center"/>
    </xf>
    <xf numFmtId="2" fontId="57" fillId="0" borderId="1" xfId="0" applyNumberFormat="1" applyFont="1" applyFill="1" applyBorder="1" applyAlignment="1">
      <alignment horizontal="center" vertical="center"/>
    </xf>
    <xf numFmtId="2" fontId="57" fillId="0" borderId="1" xfId="0" applyNumberFormat="1" applyFont="1" applyFill="1" applyBorder="1"/>
    <xf numFmtId="164" fontId="57" fillId="0" borderId="1" xfId="0" applyNumberFormat="1" applyFont="1" applyFill="1" applyBorder="1" applyAlignment="1">
      <alignment horizontal="right" vertical="center"/>
    </xf>
    <xf numFmtId="164" fontId="57" fillId="0" borderId="1" xfId="0" applyNumberFormat="1" applyFont="1" applyFill="1" applyBorder="1" applyAlignment="1">
      <alignment vertical="center"/>
    </xf>
    <xf numFmtId="164" fontId="53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61" fillId="0" borderId="1" xfId="0" applyNumberFormat="1" applyFont="1" applyFill="1" applyBorder="1"/>
    <xf numFmtId="164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right"/>
    </xf>
    <xf numFmtId="172" fontId="53" fillId="0" borderId="1" xfId="0" applyNumberFormat="1" applyFont="1" applyFill="1" applyBorder="1" applyAlignment="1">
      <alignment horizontal="center" vertical="center"/>
    </xf>
    <xf numFmtId="1" fontId="57" fillId="0" borderId="1" xfId="0" applyNumberFormat="1" applyFont="1" applyFill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horizontal="left" wrapText="1"/>
    </xf>
    <xf numFmtId="43" fontId="53" fillId="0" borderId="1" xfId="6" applyFont="1" applyFill="1" applyBorder="1" applyAlignment="1">
      <alignment horizontal="center" vertical="center"/>
    </xf>
    <xf numFmtId="164" fontId="59" fillId="0" borderId="1" xfId="0" applyNumberFormat="1" applyFont="1" applyFill="1" applyBorder="1" applyAlignment="1">
      <alignment horizontal="center" vertical="center"/>
    </xf>
    <xf numFmtId="43" fontId="18" fillId="0" borderId="1" xfId="6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9" fillId="0" borderId="1" xfId="0" applyFont="1" applyFill="1" applyBorder="1"/>
    <xf numFmtId="0" fontId="65" fillId="0" borderId="0" xfId="0" applyFont="1"/>
    <xf numFmtId="0" fontId="62" fillId="0" borderId="0" xfId="0" applyFont="1"/>
    <xf numFmtId="0" fontId="66" fillId="0" borderId="0" xfId="0" applyFont="1"/>
    <xf numFmtId="0" fontId="66" fillId="0" borderId="0" xfId="0" applyFont="1" applyFill="1"/>
    <xf numFmtId="0" fontId="58" fillId="0" borderId="0" xfId="0" applyFont="1" applyFill="1" applyAlignment="1"/>
    <xf numFmtId="0" fontId="62" fillId="0" borderId="1" xfId="0" applyFont="1" applyFill="1" applyBorder="1"/>
    <xf numFmtId="0" fontId="62" fillId="0" borderId="0" xfId="0" applyFont="1" applyFill="1"/>
    <xf numFmtId="0" fontId="55" fillId="0" borderId="0" xfId="0" applyFont="1" applyFill="1"/>
    <xf numFmtId="0" fontId="67" fillId="0" borderId="0" xfId="0" applyFont="1" applyFill="1"/>
    <xf numFmtId="0" fontId="68" fillId="0" borderId="0" xfId="0" applyFont="1"/>
    <xf numFmtId="0" fontId="5" fillId="13" borderId="1" xfId="0" applyFont="1" applyFill="1" applyBorder="1" applyAlignment="1">
      <alignment horizontal="center" vertical="center" wrapText="1"/>
    </xf>
    <xf numFmtId="0" fontId="53" fillId="13" borderId="1" xfId="0" applyFont="1" applyFill="1" applyBorder="1" applyAlignment="1">
      <alignment horizontal="left" vertical="center"/>
    </xf>
    <xf numFmtId="2" fontId="7" fillId="13" borderId="1" xfId="0" applyNumberFormat="1" applyFont="1" applyFill="1" applyBorder="1" applyAlignment="1">
      <alignment horizontal="center"/>
    </xf>
    <xf numFmtId="0" fontId="53" fillId="13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7" fillId="0" borderId="1" xfId="0" applyFont="1" applyFill="1" applyBorder="1" applyAlignment="1"/>
    <xf numFmtId="0" fontId="5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69" fillId="0" borderId="0" xfId="0" applyFont="1" applyFill="1" applyAlignment="1"/>
    <xf numFmtId="0" fontId="5" fillId="13" borderId="1" xfId="0" applyFont="1" applyFill="1" applyBorder="1" applyAlignment="1">
      <alignment horizontal="center"/>
    </xf>
    <xf numFmtId="2" fontId="7" fillId="13" borderId="1" xfId="0" applyNumberFormat="1" applyFont="1" applyFill="1" applyBorder="1" applyAlignment="1">
      <alignment horizontal="center" wrapText="1"/>
    </xf>
    <xf numFmtId="2" fontId="53" fillId="13" borderId="1" xfId="0" applyNumberFormat="1" applyFont="1" applyFill="1" applyBorder="1" applyAlignment="1">
      <alignment horizontal="center"/>
    </xf>
    <xf numFmtId="2" fontId="53" fillId="13" borderId="1" xfId="0" applyNumberFormat="1" applyFont="1" applyFill="1" applyBorder="1" applyAlignment="1">
      <alignment horizontal="center" wrapText="1"/>
    </xf>
    <xf numFmtId="49" fontId="53" fillId="0" borderId="1" xfId="0" applyNumberFormat="1" applyFont="1" applyFill="1" applyBorder="1" applyAlignment="1">
      <alignment horizontal="center" vertical="center"/>
    </xf>
    <xf numFmtId="2" fontId="53" fillId="0" borderId="1" xfId="0" applyNumberFormat="1" applyFont="1" applyFill="1" applyBorder="1" applyAlignment="1">
      <alignment horizontal="center"/>
    </xf>
    <xf numFmtId="2" fontId="53" fillId="0" borderId="1" xfId="0" applyNumberFormat="1" applyFont="1" applyFill="1" applyBorder="1" applyAlignment="1"/>
    <xf numFmtId="0" fontId="53" fillId="0" borderId="1" xfId="0" applyFont="1" applyFill="1" applyBorder="1" applyAlignment="1"/>
    <xf numFmtId="49" fontId="53" fillId="14" borderId="1" xfId="0" applyNumberFormat="1" applyFont="1" applyFill="1" applyBorder="1" applyAlignment="1">
      <alignment horizontal="center" vertical="center"/>
    </xf>
    <xf numFmtId="0" fontId="53" fillId="14" borderId="1" xfId="0" applyFont="1" applyFill="1" applyBorder="1" applyAlignment="1">
      <alignment horizontal="left"/>
    </xf>
    <xf numFmtId="2" fontId="53" fillId="14" borderId="1" xfId="0" applyNumberFormat="1" applyFont="1" applyFill="1" applyBorder="1" applyAlignment="1">
      <alignment horizontal="center"/>
    </xf>
    <xf numFmtId="164" fontId="53" fillId="14" borderId="1" xfId="0" applyNumberFormat="1" applyFont="1" applyFill="1" applyBorder="1" applyAlignment="1">
      <alignment horizontal="center"/>
    </xf>
    <xf numFmtId="2" fontId="53" fillId="14" borderId="1" xfId="0" applyNumberFormat="1" applyFont="1" applyFill="1" applyBorder="1" applyAlignment="1"/>
    <xf numFmtId="0" fontId="53" fillId="14" borderId="1" xfId="0" applyFont="1" applyFill="1" applyBorder="1" applyAlignment="1"/>
    <xf numFmtId="49" fontId="18" fillId="0" borderId="1" xfId="0" applyNumberFormat="1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2" fontId="53" fillId="0" borderId="1" xfId="0" applyNumberFormat="1" applyFont="1" applyFill="1" applyBorder="1" applyAlignment="1">
      <alignment horizontal="center"/>
    </xf>
    <xf numFmtId="172" fontId="18" fillId="0" borderId="1" xfId="0" applyNumberFormat="1" applyFont="1" applyFill="1" applyBorder="1" applyAlignment="1">
      <alignment horizontal="center" vertical="center"/>
    </xf>
    <xf numFmtId="0" fontId="57" fillId="0" borderId="1" xfId="0" applyFont="1" applyFill="1" applyBorder="1"/>
    <xf numFmtId="0" fontId="60" fillId="0" borderId="1" xfId="0" applyFont="1" applyFill="1" applyBorder="1" applyAlignment="1"/>
    <xf numFmtId="0" fontId="7" fillId="14" borderId="1" xfId="0" applyFont="1" applyFill="1" applyBorder="1" applyAlignment="1">
      <alignment horizontal="center"/>
    </xf>
    <xf numFmtId="172" fontId="18" fillId="0" borderId="1" xfId="0" applyNumberFormat="1" applyFont="1" applyFill="1" applyBorder="1" applyAlignment="1">
      <alignment horizontal="center"/>
    </xf>
    <xf numFmtId="0" fontId="53" fillId="0" borderId="1" xfId="0" applyFont="1" applyFill="1" applyBorder="1"/>
    <xf numFmtId="2" fontId="53" fillId="0" borderId="1" xfId="0" applyNumberFormat="1" applyFont="1" applyFill="1" applyBorder="1"/>
    <xf numFmtId="0" fontId="69" fillId="0" borderId="0" xfId="0" applyFont="1" applyFill="1"/>
    <xf numFmtId="172" fontId="57" fillId="0" borderId="1" xfId="0" applyNumberFormat="1" applyFont="1" applyFill="1" applyBorder="1" applyAlignment="1">
      <alignment horizontal="center" vertical="center"/>
    </xf>
    <xf numFmtId="0" fontId="53" fillId="14" borderId="1" xfId="0" applyFont="1" applyFill="1" applyBorder="1" applyAlignment="1">
      <alignment horizontal="left" wrapText="1"/>
    </xf>
    <xf numFmtId="2" fontId="7" fillId="14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/>
    <xf numFmtId="49" fontId="64" fillId="0" borderId="1" xfId="0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2" fontId="71" fillId="0" borderId="1" xfId="0" applyNumberFormat="1" applyFont="1" applyFill="1" applyBorder="1" applyAlignment="1">
      <alignment horizontal="right" vertical="center"/>
    </xf>
    <xf numFmtId="2" fontId="71" fillId="0" borderId="1" xfId="0" applyNumberFormat="1" applyFont="1" applyFill="1" applyBorder="1" applyAlignment="1">
      <alignment vertical="center"/>
    </xf>
    <xf numFmtId="2" fontId="72" fillId="0" borderId="1" xfId="0" applyNumberFormat="1" applyFont="1" applyFill="1" applyBorder="1"/>
    <xf numFmtId="0" fontId="70" fillId="0" borderId="0" xfId="0" applyFont="1" applyFill="1"/>
    <xf numFmtId="0" fontId="53" fillId="13" borderId="1" xfId="0" applyFont="1" applyFill="1" applyBorder="1" applyAlignment="1"/>
    <xf numFmtId="2" fontId="18" fillId="0" borderId="1" xfId="0" applyNumberFormat="1" applyFont="1" applyFill="1" applyBorder="1" applyAlignment="1">
      <alignment horizontal="center" wrapText="1"/>
    </xf>
    <xf numFmtId="174" fontId="53" fillId="14" borderId="1" xfId="6" applyNumberFormat="1" applyFont="1" applyFill="1" applyBorder="1" applyAlignment="1">
      <alignment horizontal="center"/>
    </xf>
    <xf numFmtId="174" fontId="53" fillId="14" borderId="1" xfId="6" applyNumberFormat="1" applyFont="1" applyFill="1" applyBorder="1" applyAlignment="1"/>
    <xf numFmtId="43" fontId="53" fillId="0" borderId="1" xfId="6" applyFont="1" applyFill="1" applyBorder="1" applyAlignment="1">
      <alignment horizontal="center"/>
    </xf>
    <xf numFmtId="1" fontId="57" fillId="0" borderId="1" xfId="0" applyNumberFormat="1" applyFont="1" applyFill="1" applyBorder="1"/>
    <xf numFmtId="43" fontId="7" fillId="0" borderId="1" xfId="6" applyFont="1" applyFill="1" applyBorder="1" applyAlignment="1">
      <alignment horizontal="center" vertical="center"/>
    </xf>
    <xf numFmtId="0" fontId="53" fillId="14" borderId="1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center" vertical="center"/>
    </xf>
    <xf numFmtId="2" fontId="7" fillId="14" borderId="1" xfId="0" applyNumberFormat="1" applyFont="1" applyFill="1" applyBorder="1" applyAlignment="1">
      <alignment horizontal="center" vertical="center"/>
    </xf>
    <xf numFmtId="2" fontId="53" fillId="14" borderId="1" xfId="0" applyNumberFormat="1" applyFont="1" applyFill="1" applyBorder="1" applyAlignment="1">
      <alignment horizontal="center" vertical="center"/>
    </xf>
    <xf numFmtId="173" fontId="60" fillId="14" borderId="1" xfId="0" applyNumberFormat="1" applyFont="1" applyFill="1" applyBorder="1"/>
    <xf numFmtId="172" fontId="53" fillId="14" borderId="1" xfId="0" applyNumberFormat="1" applyFont="1" applyFill="1" applyBorder="1"/>
    <xf numFmtId="174" fontId="53" fillId="0" borderId="1" xfId="6" applyNumberFormat="1" applyFont="1" applyFill="1" applyBorder="1" applyAlignment="1">
      <alignment horizontal="center"/>
    </xf>
    <xf numFmtId="172" fontId="18" fillId="0" borderId="1" xfId="0" applyNumberFormat="1" applyFont="1" applyFill="1" applyBorder="1"/>
    <xf numFmtId="174" fontId="53" fillId="0" borderId="1" xfId="6" applyNumberFormat="1" applyFont="1" applyFill="1" applyBorder="1" applyAlignment="1">
      <alignment horizontal="center" vertical="center"/>
    </xf>
    <xf numFmtId="174" fontId="18" fillId="0" borderId="1" xfId="0" applyNumberFormat="1" applyFont="1" applyFill="1" applyBorder="1" applyAlignment="1">
      <alignment horizontal="center" vertical="center"/>
    </xf>
    <xf numFmtId="2" fontId="53" fillId="15" borderId="1" xfId="0" applyNumberFormat="1" applyFont="1" applyFill="1" applyBorder="1" applyAlignment="1">
      <alignment horizontal="center" vertical="center"/>
    </xf>
    <xf numFmtId="2" fontId="57" fillId="0" borderId="1" xfId="0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/>
    <xf numFmtId="2" fontId="55" fillId="0" borderId="1" xfId="0" applyNumberFormat="1" applyFont="1" applyBorder="1"/>
    <xf numFmtId="0" fontId="65" fillId="0" borderId="1" xfId="0" applyFont="1" applyBorder="1"/>
    <xf numFmtId="0" fontId="62" fillId="0" borderId="1" xfId="0" applyFont="1" applyBorder="1"/>
    <xf numFmtId="0" fontId="66" fillId="0" borderId="1" xfId="0" applyFont="1" applyBorder="1"/>
    <xf numFmtId="0" fontId="66" fillId="0" borderId="1" xfId="0" applyFont="1" applyFill="1" applyBorder="1"/>
    <xf numFmtId="0" fontId="69" fillId="0" borderId="1" xfId="0" applyFont="1" applyFill="1" applyBorder="1" applyAlignment="1"/>
    <xf numFmtId="0" fontId="67" fillId="0" borderId="1" xfId="0" applyFont="1" applyFill="1" applyBorder="1"/>
    <xf numFmtId="0" fontId="58" fillId="0" borderId="1" xfId="0" applyFont="1" applyFill="1" applyBorder="1" applyAlignment="1"/>
    <xf numFmtId="2" fontId="70" fillId="0" borderId="1" xfId="0" applyNumberFormat="1" applyFont="1" applyBorder="1"/>
    <xf numFmtId="0" fontId="70" fillId="0" borderId="1" xfId="0" applyFont="1" applyFill="1" applyBorder="1"/>
    <xf numFmtId="0" fontId="68" fillId="0" borderId="1" xfId="0" applyFont="1" applyBorder="1"/>
    <xf numFmtId="43" fontId="55" fillId="0" borderId="1" xfId="6" applyFont="1" applyBorder="1"/>
    <xf numFmtId="2" fontId="0" fillId="0" borderId="1" xfId="0" applyNumberFormat="1" applyFont="1" applyFill="1" applyBorder="1"/>
    <xf numFmtId="0" fontId="1" fillId="0" borderId="1" xfId="0" applyFont="1" applyFill="1" applyBorder="1"/>
    <xf numFmtId="0" fontId="36" fillId="0" borderId="1" xfId="0" applyFont="1" applyFill="1" applyBorder="1" applyAlignment="1"/>
    <xf numFmtId="0" fontId="3" fillId="0" borderId="1" xfId="0" applyFont="1" applyFill="1" applyBorder="1"/>
    <xf numFmtId="0" fontId="4" fillId="0" borderId="1" xfId="0" applyFont="1" applyFill="1" applyBorder="1" applyAlignment="1"/>
    <xf numFmtId="0" fontId="51" fillId="0" borderId="1" xfId="0" applyFont="1" applyFill="1" applyBorder="1"/>
    <xf numFmtId="2" fontId="0" fillId="0" borderId="1" xfId="0" applyNumberForma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18" fillId="14" borderId="1" xfId="0" applyNumberFormat="1" applyFont="1" applyFill="1" applyBorder="1" applyAlignment="1">
      <alignment horizontal="center" vertical="center"/>
    </xf>
    <xf numFmtId="43" fontId="18" fillId="0" borderId="1" xfId="6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/>
    <xf numFmtId="2" fontId="5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56" fillId="0" borderId="1" xfId="0" applyFont="1" applyFill="1" applyBorder="1" applyAlignment="1">
      <alignment horizontal="right"/>
    </xf>
    <xf numFmtId="2" fontId="56" fillId="0" borderId="1" xfId="0" applyNumberFormat="1" applyFont="1" applyFill="1" applyBorder="1" applyAlignment="1">
      <alignment horizontal="right"/>
    </xf>
    <xf numFmtId="49" fontId="55" fillId="0" borderId="1" xfId="0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2" fontId="55" fillId="0" borderId="1" xfId="0" applyNumberFormat="1" applyFont="1" applyFill="1" applyBorder="1" applyAlignment="1">
      <alignment horizontal="center"/>
    </xf>
    <xf numFmtId="1" fontId="56" fillId="0" borderId="1" xfId="0" applyNumberFormat="1" applyFont="1" applyFill="1" applyBorder="1" applyAlignment="1">
      <alignment horizontal="right"/>
    </xf>
    <xf numFmtId="0" fontId="55" fillId="0" borderId="1" xfId="0" applyFont="1" applyFill="1" applyBorder="1" applyAlignment="1"/>
    <xf numFmtId="2" fontId="55" fillId="0" borderId="1" xfId="0" applyNumberFormat="1" applyFont="1" applyBorder="1" applyAlignment="1"/>
    <xf numFmtId="0" fontId="55" fillId="0" borderId="0" xfId="0" applyFont="1" applyFill="1" applyAlignment="1"/>
    <xf numFmtId="0" fontId="55" fillId="0" borderId="0" xfId="0" applyFont="1" applyAlignment="1">
      <alignment wrapText="1"/>
    </xf>
    <xf numFmtId="0" fontId="69" fillId="0" borderId="0" xfId="0" applyFont="1" applyAlignment="1">
      <alignment wrapText="1"/>
    </xf>
    <xf numFmtId="174" fontId="69" fillId="0" borderId="0" xfId="6" applyNumberFormat="1" applyFont="1"/>
    <xf numFmtId="0" fontId="73" fillId="0" borderId="0" xfId="0" applyFont="1" applyFill="1"/>
    <xf numFmtId="2" fontId="73" fillId="0" borderId="0" xfId="0" applyNumberFormat="1" applyFont="1" applyFill="1"/>
    <xf numFmtId="172" fontId="73" fillId="0" borderId="0" xfId="0" applyNumberFormat="1" applyFont="1" applyFill="1"/>
    <xf numFmtId="165" fontId="0" fillId="0" borderId="1" xfId="1" applyNumberFormat="1" applyFont="1" applyFill="1" applyBorder="1"/>
    <xf numFmtId="1" fontId="73" fillId="0" borderId="0" xfId="0" applyNumberFormat="1" applyFont="1"/>
    <xf numFmtId="0" fontId="55" fillId="0" borderId="1" xfId="0" applyFont="1" applyBorder="1" applyAlignment="1">
      <alignment horizontal="center" wrapText="1"/>
    </xf>
    <xf numFmtId="0" fontId="5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9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5"/>
    <cellStyle name="Обычный_ООО Тепловодоканал 2011" xfId="4"/>
    <cellStyle name="Процентный" xfId="1" builtinId="5"/>
    <cellStyle name="Финансовый" xfId="6" builtinId="3"/>
    <cellStyle name="Финансовый 2" xfId="3"/>
  </cellStyles>
  <dxfs count="0"/>
  <tableStyles count="0" defaultTableStyle="TableStyleMedium9" defaultPivotStyle="PivotStyleLight16"/>
  <colors>
    <mruColors>
      <color rgb="FFFF99FF"/>
      <color rgb="FFFFFFCC"/>
      <color rgb="FFFDE2CB"/>
      <color rgb="FFFFFF99"/>
      <color rgb="FFFDE6D3"/>
      <color rgb="FF99FF99"/>
      <color rgb="FFFEF4EC"/>
      <color rgb="FFF0F5E7"/>
      <color rgb="FFEAF1DD"/>
      <color rgb="FFF8FAF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N2273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I19" sqref="AI19"/>
    </sheetView>
  </sheetViews>
  <sheetFormatPr defaultRowHeight="15" outlineLevelCol="1"/>
  <cols>
    <col min="1" max="1" width="6" style="293" customWidth="1"/>
    <col min="2" max="2" width="49.140625" style="3" customWidth="1"/>
    <col min="3" max="3" width="13.7109375" style="293" customWidth="1"/>
    <col min="4" max="5" width="11.140625" style="293" hidden="1" customWidth="1"/>
    <col min="6" max="6" width="19.28515625" style="3" hidden="1" customWidth="1"/>
    <col min="7" max="7" width="17.28515625" style="3" hidden="1" customWidth="1"/>
    <col min="8" max="8" width="9.85546875" style="3" hidden="1" customWidth="1"/>
    <col min="9" max="9" width="9.42578125" style="3" hidden="1" customWidth="1"/>
    <col min="10" max="10" width="9.28515625" style="3" hidden="1" customWidth="1"/>
    <col min="11" max="11" width="15.140625" style="3" hidden="1" customWidth="1"/>
    <col min="12" max="12" width="9.7109375" style="3" hidden="1" customWidth="1"/>
    <col min="13" max="13" width="9.42578125" style="3" hidden="1" customWidth="1"/>
    <col min="14" max="14" width="13.28515625" style="3" customWidth="1"/>
    <col min="15" max="15" width="9.28515625" style="3" hidden="1" customWidth="1"/>
    <col min="16" max="16" width="6.5703125" style="3" hidden="1" customWidth="1"/>
    <col min="17" max="17" width="11.42578125" style="3" bestFit="1" customWidth="1"/>
    <col min="18" max="18" width="6.42578125" style="3" hidden="1" customWidth="1"/>
    <col min="19" max="19" width="14.140625" style="281" customWidth="1"/>
    <col min="20" max="20" width="14.140625" style="491" hidden="1" customWidth="1"/>
    <col min="21" max="21" width="11.85546875" style="3" hidden="1" customWidth="1"/>
    <col min="22" max="22" width="10.85546875" style="3" hidden="1" customWidth="1"/>
    <col min="23" max="23" width="8.140625" style="3" hidden="1" customWidth="1"/>
    <col min="24" max="24" width="10.85546875" style="3" hidden="1" customWidth="1"/>
    <col min="25" max="25" width="14.7109375" style="3" customWidth="1"/>
    <col min="26" max="26" width="10.85546875" style="3" hidden="1" customWidth="1"/>
    <col min="27" max="27" width="8.7109375" style="3" hidden="1" customWidth="1"/>
    <col min="28" max="28" width="15.140625" style="3" customWidth="1"/>
    <col min="29" max="29" width="9.28515625" style="3" hidden="1" customWidth="1"/>
    <col min="30" max="30" width="13.5703125" style="3" hidden="1" customWidth="1" outlineLevel="1"/>
    <col min="31" max="31" width="13.28515625" style="3" hidden="1" customWidth="1" outlineLevel="1"/>
    <col min="32" max="32" width="6.5703125" style="3" hidden="1" customWidth="1" outlineLevel="1"/>
    <col min="33" max="34" width="13.85546875" style="3" hidden="1" customWidth="1" outlineLevel="1"/>
    <col min="35" max="35" width="16.42578125" style="302" customWidth="1" collapsed="1"/>
    <col min="36" max="36" width="13.28515625" style="302" customWidth="1"/>
    <col min="37" max="37" width="13.5703125" style="302" hidden="1" customWidth="1"/>
    <col min="38" max="38" width="13" style="302" customWidth="1"/>
    <col min="39" max="39" width="13.140625" style="302" customWidth="1"/>
    <col min="40" max="40" width="13.5703125" style="302" customWidth="1"/>
    <col min="41" max="16384" width="9.140625" style="302"/>
  </cols>
  <sheetData>
    <row r="2" spans="1:40" ht="18.75">
      <c r="B2" s="314" t="s">
        <v>370</v>
      </c>
    </row>
    <row r="4" spans="1:40" ht="24.75" customHeight="1">
      <c r="A4" s="523" t="s">
        <v>3</v>
      </c>
      <c r="B4" s="523" t="s">
        <v>322</v>
      </c>
      <c r="C4" s="524" t="s">
        <v>0</v>
      </c>
      <c r="D4" s="296" t="s">
        <v>155</v>
      </c>
      <c r="E4" s="296" t="s">
        <v>156</v>
      </c>
      <c r="F4" s="527" t="s">
        <v>77</v>
      </c>
      <c r="G4" s="527"/>
      <c r="H4" s="527" t="s">
        <v>78</v>
      </c>
      <c r="I4" s="527"/>
      <c r="J4" s="527"/>
      <c r="K4" s="527"/>
      <c r="L4" s="296"/>
      <c r="M4" s="10"/>
      <c r="N4" s="528" t="s">
        <v>329</v>
      </c>
      <c r="O4" s="529"/>
      <c r="P4" s="529"/>
      <c r="Q4" s="529"/>
      <c r="R4" s="529"/>
      <c r="S4" s="530"/>
      <c r="T4" s="410"/>
      <c r="U4" s="526" t="s">
        <v>323</v>
      </c>
      <c r="V4" s="526"/>
      <c r="W4" s="526"/>
      <c r="X4" s="526"/>
      <c r="Y4" s="526" t="s">
        <v>324</v>
      </c>
      <c r="Z4" s="526"/>
      <c r="AA4" s="526"/>
      <c r="AB4" s="526"/>
      <c r="AC4" s="298"/>
      <c r="AD4" s="526" t="s">
        <v>158</v>
      </c>
      <c r="AE4" s="526"/>
      <c r="AF4" s="526"/>
      <c r="AG4" s="526"/>
      <c r="AH4" s="528" t="s">
        <v>374</v>
      </c>
      <c r="AI4" s="529"/>
      <c r="AJ4" s="529"/>
      <c r="AK4" s="529"/>
      <c r="AL4" s="530"/>
      <c r="AM4" s="521" t="s">
        <v>381</v>
      </c>
      <c r="AN4" s="521"/>
    </row>
    <row r="5" spans="1:40" ht="51">
      <c r="A5" s="523"/>
      <c r="B5" s="524"/>
      <c r="C5" s="524"/>
      <c r="D5" s="6" t="s">
        <v>2</v>
      </c>
      <c r="E5" s="6" t="s">
        <v>174</v>
      </c>
      <c r="F5" s="7" t="s">
        <v>165</v>
      </c>
      <c r="G5" s="7" t="s">
        <v>174</v>
      </c>
      <c r="H5" s="7" t="s">
        <v>1</v>
      </c>
      <c r="I5" s="7" t="s">
        <v>153</v>
      </c>
      <c r="J5" s="7" t="s">
        <v>154</v>
      </c>
      <c r="K5" s="7" t="s">
        <v>187</v>
      </c>
      <c r="L5" s="7" t="s">
        <v>318</v>
      </c>
      <c r="M5" s="7" t="s">
        <v>85</v>
      </c>
      <c r="N5" s="7" t="s">
        <v>1</v>
      </c>
      <c r="O5" s="7" t="s">
        <v>311</v>
      </c>
      <c r="P5" s="298" t="s">
        <v>157</v>
      </c>
      <c r="Q5" s="7" t="s">
        <v>312</v>
      </c>
      <c r="R5" s="7" t="s">
        <v>317</v>
      </c>
      <c r="S5" s="7" t="s">
        <v>331</v>
      </c>
      <c r="T5" s="408"/>
      <c r="U5" s="7" t="s">
        <v>84</v>
      </c>
      <c r="V5" s="7" t="s">
        <v>313</v>
      </c>
      <c r="W5" s="298" t="s">
        <v>161</v>
      </c>
      <c r="X5" s="7" t="s">
        <v>314</v>
      </c>
      <c r="Y5" s="7" t="s">
        <v>1</v>
      </c>
      <c r="Z5" s="7" t="s">
        <v>313</v>
      </c>
      <c r="AA5" s="298" t="s">
        <v>161</v>
      </c>
      <c r="AB5" s="7" t="s">
        <v>314</v>
      </c>
      <c r="AC5" s="7" t="s">
        <v>332</v>
      </c>
      <c r="AD5" s="7" t="s">
        <v>365</v>
      </c>
      <c r="AE5" s="7" t="s">
        <v>315</v>
      </c>
      <c r="AF5" s="298" t="s">
        <v>162</v>
      </c>
      <c r="AG5" s="7" t="s">
        <v>316</v>
      </c>
      <c r="AH5" s="294" t="s">
        <v>85</v>
      </c>
      <c r="AI5" s="7" t="s">
        <v>365</v>
      </c>
      <c r="AJ5" s="7" t="s">
        <v>315</v>
      </c>
      <c r="AK5" s="298" t="s">
        <v>162</v>
      </c>
      <c r="AL5" s="7" t="s">
        <v>316</v>
      </c>
      <c r="AM5" s="408" t="s">
        <v>382</v>
      </c>
      <c r="AN5" s="470" t="s">
        <v>383</v>
      </c>
    </row>
    <row r="6" spans="1:40">
      <c r="A6" s="525" t="s">
        <v>360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408"/>
      <c r="AN6" s="303"/>
    </row>
    <row r="7" spans="1:40" ht="42" customHeight="1">
      <c r="A7" s="338"/>
      <c r="B7" s="336" t="s">
        <v>42</v>
      </c>
      <c r="C7" s="337" t="s">
        <v>11</v>
      </c>
      <c r="D7" s="337"/>
      <c r="E7" s="337"/>
      <c r="F7" s="315"/>
      <c r="G7" s="337"/>
      <c r="H7" s="337">
        <v>554.66999999999996</v>
      </c>
      <c r="I7" s="315">
        <v>277.33</v>
      </c>
      <c r="J7" s="315">
        <v>277.33</v>
      </c>
      <c r="K7" s="337"/>
      <c r="L7" s="337">
        <v>285.3</v>
      </c>
      <c r="M7" s="337">
        <f>H7</f>
        <v>554.66999999999996</v>
      </c>
      <c r="N7" s="343">
        <f>H7</f>
        <v>554.66999999999996</v>
      </c>
      <c r="O7" s="343">
        <f>N7/2</f>
        <v>277.33499999999998</v>
      </c>
      <c r="P7" s="343"/>
      <c r="Q7" s="343">
        <f>N7-O7</f>
        <v>277.33499999999998</v>
      </c>
      <c r="R7" s="343"/>
      <c r="S7" s="343">
        <v>362.3</v>
      </c>
      <c r="T7" s="343"/>
      <c r="U7" s="343">
        <f>V7+X7</f>
        <v>554.66999999999996</v>
      </c>
      <c r="V7" s="343">
        <f>Q5:Q7</f>
        <v>277.33499999999998</v>
      </c>
      <c r="W7" s="343"/>
      <c r="X7" s="343">
        <f>V7</f>
        <v>277.33499999999998</v>
      </c>
      <c r="Y7" s="343">
        <v>554.66999999999996</v>
      </c>
      <c r="Z7" s="343">
        <v>277.33499999999998</v>
      </c>
      <c r="AA7" s="343"/>
      <c r="AB7" s="343">
        <v>277.33499999999998</v>
      </c>
      <c r="AC7" s="343"/>
      <c r="AD7" s="343">
        <f>AE7+AG7</f>
        <v>554.66999999999996</v>
      </c>
      <c r="AE7" s="343">
        <f>X7</f>
        <v>277.33499999999998</v>
      </c>
      <c r="AF7" s="343"/>
      <c r="AG7" s="343">
        <f>AE7</f>
        <v>277.33499999999998</v>
      </c>
      <c r="AH7" s="343">
        <v>233.34</v>
      </c>
      <c r="AI7" s="344">
        <f>AI8</f>
        <v>521.98199105145409</v>
      </c>
      <c r="AJ7" s="344">
        <f>AI7/2</f>
        <v>260.99099552572704</v>
      </c>
      <c r="AK7" s="343"/>
      <c r="AL7" s="344">
        <f>AI7-AJ7</f>
        <v>260.99099552572704</v>
      </c>
      <c r="AM7" s="484">
        <f>AI7-Y7</f>
        <v>-32.688008948545871</v>
      </c>
      <c r="AN7" s="484">
        <f>AI7-AD7</f>
        <v>-32.688008948545871</v>
      </c>
    </row>
    <row r="8" spans="1:40" ht="15.75">
      <c r="A8" s="7"/>
      <c r="B8" s="316" t="s">
        <v>41</v>
      </c>
      <c r="C8" s="6" t="s">
        <v>11</v>
      </c>
      <c r="D8" s="15"/>
      <c r="E8" s="15"/>
      <c r="F8" s="168"/>
      <c r="G8" s="299"/>
      <c r="H8" s="8">
        <v>554.66999999999996</v>
      </c>
      <c r="I8" s="8">
        <v>277.33</v>
      </c>
      <c r="J8" s="8">
        <v>277.33</v>
      </c>
      <c r="K8" s="8"/>
      <c r="L8" s="8"/>
      <c r="M8" s="8">
        <f>H8</f>
        <v>554.66999999999996</v>
      </c>
      <c r="N8" s="345">
        <f>H8</f>
        <v>554.66999999999996</v>
      </c>
      <c r="O8" s="346">
        <f>N8/2</f>
        <v>277.33499999999998</v>
      </c>
      <c r="P8" s="346"/>
      <c r="Q8" s="346">
        <f>N8-O8</f>
        <v>277.33499999999998</v>
      </c>
      <c r="R8" s="346"/>
      <c r="S8" s="346">
        <v>178.8</v>
      </c>
      <c r="T8" s="346"/>
      <c r="U8" s="346">
        <f>V8+X8</f>
        <v>554.66999999999996</v>
      </c>
      <c r="V8" s="346">
        <f>Q7:Q8</f>
        <v>277.33499999999998</v>
      </c>
      <c r="W8" s="346"/>
      <c r="X8" s="346">
        <f>V8</f>
        <v>277.33499999999998</v>
      </c>
      <c r="Y8" s="346">
        <v>554.66999999999996</v>
      </c>
      <c r="Z8" s="346">
        <v>277.33499999999998</v>
      </c>
      <c r="AA8" s="346"/>
      <c r="AB8" s="346">
        <v>277.33499999999998</v>
      </c>
      <c r="AC8" s="346"/>
      <c r="AD8" s="346">
        <f>AE8+AG8</f>
        <v>554.66999999999996</v>
      </c>
      <c r="AE8" s="346">
        <f>X8</f>
        <v>277.33499999999998</v>
      </c>
      <c r="AF8" s="346"/>
      <c r="AG8" s="346">
        <f>AE8</f>
        <v>277.33499999999998</v>
      </c>
      <c r="AH8" s="346">
        <f>AH7</f>
        <v>233.34</v>
      </c>
      <c r="AI8" s="346">
        <f>AI9+AI10</f>
        <v>521.98199105145409</v>
      </c>
      <c r="AJ8" s="346">
        <f>AI8/2</f>
        <v>260.99099552572704</v>
      </c>
      <c r="AK8" s="346"/>
      <c r="AL8" s="346">
        <f>AI8-AJ8</f>
        <v>260.99099552572704</v>
      </c>
      <c r="AM8" s="484"/>
      <c r="AN8" s="303"/>
    </row>
    <row r="9" spans="1:40" ht="15.75">
      <c r="A9" s="7"/>
      <c r="B9" s="316" t="s">
        <v>86</v>
      </c>
      <c r="C9" s="6" t="s">
        <v>11</v>
      </c>
      <c r="D9" s="8"/>
      <c r="E9" s="8"/>
      <c r="F9" s="38"/>
      <c r="G9" s="8"/>
      <c r="H9" s="8">
        <v>50.67</v>
      </c>
      <c r="I9" s="8">
        <v>25.33</v>
      </c>
      <c r="J9" s="8">
        <v>25.33</v>
      </c>
      <c r="K9" s="8"/>
      <c r="L9" s="8"/>
      <c r="M9" s="8">
        <f>H9</f>
        <v>50.67</v>
      </c>
      <c r="N9" s="345">
        <f>H9</f>
        <v>50.67</v>
      </c>
      <c r="O9" s="346">
        <f>N9/2</f>
        <v>25.335000000000001</v>
      </c>
      <c r="P9" s="346"/>
      <c r="Q9" s="346">
        <f>O9</f>
        <v>25.335000000000001</v>
      </c>
      <c r="R9" s="346"/>
      <c r="S9" s="346">
        <v>33</v>
      </c>
      <c r="T9" s="346"/>
      <c r="U9" s="346">
        <f>V9+X9</f>
        <v>50.67</v>
      </c>
      <c r="V9" s="346">
        <f>Q9</f>
        <v>25.335000000000001</v>
      </c>
      <c r="W9" s="346"/>
      <c r="X9" s="346">
        <f>V9</f>
        <v>25.335000000000001</v>
      </c>
      <c r="Y9" s="346">
        <v>50.67</v>
      </c>
      <c r="Z9" s="346">
        <v>25.335000000000001</v>
      </c>
      <c r="AA9" s="346"/>
      <c r="AB9" s="346">
        <v>25.335000000000001</v>
      </c>
      <c r="AC9" s="346"/>
      <c r="AD9" s="346">
        <f>AE9+AG9</f>
        <v>50.67</v>
      </c>
      <c r="AE9" s="346">
        <f>X9</f>
        <v>25.335000000000001</v>
      </c>
      <c r="AF9" s="346"/>
      <c r="AG9" s="346">
        <f>AE9</f>
        <v>25.335000000000001</v>
      </c>
      <c r="AH9" s="346"/>
      <c r="AI9" s="346">
        <f>S9</f>
        <v>33</v>
      </c>
      <c r="AJ9" s="346">
        <f>AI9/2</f>
        <v>16.5</v>
      </c>
      <c r="AK9" s="346"/>
      <c r="AL9" s="346">
        <f>AI9-AJ9</f>
        <v>16.5</v>
      </c>
      <c r="AM9" s="484"/>
      <c r="AN9" s="303"/>
    </row>
    <row r="10" spans="1:40" ht="15.75">
      <c r="A10" s="7"/>
      <c r="B10" s="316" t="s">
        <v>43</v>
      </c>
      <c r="C10" s="6" t="s">
        <v>11</v>
      </c>
      <c r="D10" s="8"/>
      <c r="E10" s="8"/>
      <c r="F10" s="38"/>
      <c r="G10" s="8"/>
      <c r="H10" s="8">
        <v>504</v>
      </c>
      <c r="I10" s="8">
        <v>252</v>
      </c>
      <c r="J10" s="8">
        <v>252</v>
      </c>
      <c r="K10" s="8"/>
      <c r="L10" s="8">
        <f>L13/(1-0.106)</f>
        <v>255.32102908277406</v>
      </c>
      <c r="M10" s="8">
        <f>H10</f>
        <v>504</v>
      </c>
      <c r="N10" s="345">
        <f>H10</f>
        <v>504</v>
      </c>
      <c r="O10" s="346">
        <f t="shared" ref="O10:O19" si="0">N10/2</f>
        <v>252</v>
      </c>
      <c r="P10" s="346"/>
      <c r="Q10" s="346">
        <f t="shared" ref="Q10:Q15" si="1">N10-O10</f>
        <v>252</v>
      </c>
      <c r="R10" s="346"/>
      <c r="S10" s="346">
        <v>329.3</v>
      </c>
      <c r="T10" s="346"/>
      <c r="U10" s="346">
        <f>V10+X10</f>
        <v>504</v>
      </c>
      <c r="V10" s="346">
        <f>Q10</f>
        <v>252</v>
      </c>
      <c r="W10" s="346"/>
      <c r="X10" s="346">
        <f>V10</f>
        <v>252</v>
      </c>
      <c r="Y10" s="346">
        <v>504</v>
      </c>
      <c r="Z10" s="346">
        <v>252</v>
      </c>
      <c r="AA10" s="346"/>
      <c r="AB10" s="346">
        <v>252</v>
      </c>
      <c r="AC10" s="346"/>
      <c r="AD10" s="346">
        <f>AE10+AG10</f>
        <v>504</v>
      </c>
      <c r="AE10" s="346">
        <f>X10</f>
        <v>252</v>
      </c>
      <c r="AF10" s="346"/>
      <c r="AG10" s="346">
        <f>AE10</f>
        <v>252</v>
      </c>
      <c r="AH10" s="346"/>
      <c r="AI10" s="346">
        <f>AI13/0.894</f>
        <v>488.98199105145414</v>
      </c>
      <c r="AJ10" s="346">
        <f>AI10/2</f>
        <v>244.49099552572707</v>
      </c>
      <c r="AK10" s="346"/>
      <c r="AL10" s="346">
        <f>AI10-AJ10</f>
        <v>244.49099552572707</v>
      </c>
      <c r="AM10" s="484"/>
      <c r="AN10" s="303"/>
    </row>
    <row r="11" spans="1:40" ht="42" customHeight="1">
      <c r="A11" s="338"/>
      <c r="B11" s="336" t="s">
        <v>372</v>
      </c>
      <c r="C11" s="337" t="s">
        <v>11</v>
      </c>
      <c r="D11" s="337"/>
      <c r="E11" s="337"/>
      <c r="F11" s="315"/>
      <c r="G11" s="337"/>
      <c r="H11" s="337">
        <v>53.33</v>
      </c>
      <c r="I11" s="315">
        <v>26.67</v>
      </c>
      <c r="J11" s="315">
        <v>26.67</v>
      </c>
      <c r="K11" s="337"/>
      <c r="L11" s="337">
        <f>L10-L13</f>
        <v>27.064029082774056</v>
      </c>
      <c r="M11" s="337">
        <f>H11</f>
        <v>53.33</v>
      </c>
      <c r="N11" s="343">
        <f>H11</f>
        <v>53.33</v>
      </c>
      <c r="O11" s="343">
        <f t="shared" si="0"/>
        <v>26.664999999999999</v>
      </c>
      <c r="P11" s="343"/>
      <c r="Q11" s="343">
        <f>O11</f>
        <v>26.664999999999999</v>
      </c>
      <c r="R11" s="343"/>
      <c r="S11" s="343">
        <v>20.5</v>
      </c>
      <c r="T11" s="343"/>
      <c r="U11" s="343">
        <f>V11+X11</f>
        <v>53.33</v>
      </c>
      <c r="V11" s="343">
        <f>Q11</f>
        <v>26.664999999999999</v>
      </c>
      <c r="W11" s="343"/>
      <c r="X11" s="343">
        <f>V11</f>
        <v>26.664999999999999</v>
      </c>
      <c r="Y11" s="343">
        <v>53.33</v>
      </c>
      <c r="Z11" s="343">
        <v>26.664999999999999</v>
      </c>
      <c r="AA11" s="343"/>
      <c r="AB11" s="343">
        <v>26.664999999999999</v>
      </c>
      <c r="AC11" s="343"/>
      <c r="AD11" s="343">
        <f>AE11+AG11</f>
        <v>53.33</v>
      </c>
      <c r="AE11" s="343">
        <f>X11</f>
        <v>26.664999999999999</v>
      </c>
      <c r="AF11" s="343"/>
      <c r="AG11" s="343">
        <f>AE11</f>
        <v>26.664999999999999</v>
      </c>
      <c r="AH11" s="343"/>
      <c r="AI11" s="344">
        <f>AI10*AI12</f>
        <v>51.832091051454135</v>
      </c>
      <c r="AJ11" s="344">
        <f>AJ10*AJ12</f>
        <v>25.916045525727068</v>
      </c>
      <c r="AK11" s="343"/>
      <c r="AL11" s="344">
        <f>AL10*AL12</f>
        <v>25.916045525727068</v>
      </c>
      <c r="AM11" s="484">
        <f>AI11-Y11</f>
        <v>-1.497908948545863</v>
      </c>
      <c r="AN11" s="484">
        <f>AI11-AD11</f>
        <v>-1.497908948545863</v>
      </c>
    </row>
    <row r="12" spans="1:40" ht="15.75">
      <c r="A12" s="7"/>
      <c r="B12" s="317" t="s">
        <v>44</v>
      </c>
      <c r="C12" s="6" t="s">
        <v>7</v>
      </c>
      <c r="D12" s="8"/>
      <c r="E12" s="300"/>
      <c r="F12" s="301"/>
      <c r="G12" s="13"/>
      <c r="H12" s="300">
        <f>H11/H10</f>
        <v>0.10581349206349205</v>
      </c>
      <c r="I12" s="300">
        <f>I11/I10</f>
        <v>0.10583333333333333</v>
      </c>
      <c r="J12" s="300">
        <f>J11/J10</f>
        <v>0.10583333333333333</v>
      </c>
      <c r="K12" s="13"/>
      <c r="L12" s="13">
        <f>L11/L10</f>
        <v>0.10600000000000002</v>
      </c>
      <c r="M12" s="13">
        <f t="shared" ref="M12:O12" si="2">M11/M10</f>
        <v>0.10581349206349205</v>
      </c>
      <c r="N12" s="347">
        <f>N11/N10</f>
        <v>0.10581349206349205</v>
      </c>
      <c r="O12" s="348">
        <f t="shared" si="2"/>
        <v>0.10581349206349205</v>
      </c>
      <c r="P12" s="349"/>
      <c r="Q12" s="348">
        <f>Q11/Q10</f>
        <v>0.10581349206349205</v>
      </c>
      <c r="R12" s="348"/>
      <c r="S12" s="348">
        <v>5.66</v>
      </c>
      <c r="T12" s="348"/>
      <c r="U12" s="347">
        <f>U11/U10</f>
        <v>0.10581349206349205</v>
      </c>
      <c r="V12" s="348">
        <f>V11/V10</f>
        <v>0.10581349206349205</v>
      </c>
      <c r="W12" s="348"/>
      <c r="X12" s="347">
        <f>X11/X10</f>
        <v>0.10581349206349205</v>
      </c>
      <c r="Y12" s="347">
        <v>0.10581349206349205</v>
      </c>
      <c r="Z12" s="348">
        <v>0.10581349206349205</v>
      </c>
      <c r="AA12" s="348"/>
      <c r="AB12" s="347">
        <v>0.10581349206349205</v>
      </c>
      <c r="AC12" s="347"/>
      <c r="AD12" s="347">
        <f>AD11/AD10</f>
        <v>0.10581349206349205</v>
      </c>
      <c r="AE12" s="347">
        <f>AE11/AE10</f>
        <v>0.10581349206349205</v>
      </c>
      <c r="AF12" s="347"/>
      <c r="AG12" s="347">
        <f>AG11/AG10</f>
        <v>0.10581349206349205</v>
      </c>
      <c r="AH12" s="347"/>
      <c r="AI12" s="347">
        <v>0.106</v>
      </c>
      <c r="AJ12" s="347">
        <v>0.106</v>
      </c>
      <c r="AK12" s="347"/>
      <c r="AL12" s="347">
        <v>0.106</v>
      </c>
      <c r="AM12" s="484"/>
      <c r="AN12" s="303"/>
    </row>
    <row r="13" spans="1:40" ht="32.25" customHeight="1">
      <c r="A13" s="338"/>
      <c r="B13" s="336" t="s">
        <v>87</v>
      </c>
      <c r="C13" s="337" t="s">
        <v>11</v>
      </c>
      <c r="D13" s="337"/>
      <c r="E13" s="337"/>
      <c r="F13" s="315"/>
      <c r="G13" s="337"/>
      <c r="H13" s="337">
        <v>450.67</v>
      </c>
      <c r="I13" s="315">
        <v>225.33</v>
      </c>
      <c r="J13" s="315">
        <v>225.33</v>
      </c>
      <c r="K13" s="337"/>
      <c r="L13" s="337">
        <v>228.25700000000001</v>
      </c>
      <c r="M13" s="337">
        <f>H13</f>
        <v>450.67</v>
      </c>
      <c r="N13" s="343">
        <f>H13</f>
        <v>450.67</v>
      </c>
      <c r="O13" s="343">
        <f t="shared" si="0"/>
        <v>225.33500000000001</v>
      </c>
      <c r="P13" s="343"/>
      <c r="Q13" s="343">
        <f t="shared" si="1"/>
        <v>225.33500000000001</v>
      </c>
      <c r="R13" s="343"/>
      <c r="S13" s="343">
        <v>308.8</v>
      </c>
      <c r="T13" s="343"/>
      <c r="U13" s="343">
        <f t="shared" ref="U13:U18" si="3">V13+X13</f>
        <v>450.67</v>
      </c>
      <c r="V13" s="343">
        <f>Q13</f>
        <v>225.33500000000001</v>
      </c>
      <c r="W13" s="343"/>
      <c r="X13" s="343">
        <f t="shared" ref="X13:X18" si="4">V13</f>
        <v>225.33500000000001</v>
      </c>
      <c r="Y13" s="343">
        <v>450.67</v>
      </c>
      <c r="Z13" s="343">
        <v>225.33500000000001</v>
      </c>
      <c r="AA13" s="343"/>
      <c r="AB13" s="343">
        <v>225.33500000000001</v>
      </c>
      <c r="AC13" s="343"/>
      <c r="AD13" s="343">
        <f t="shared" ref="AD13:AD18" si="5">AE13+AG13</f>
        <v>450.67</v>
      </c>
      <c r="AE13" s="343">
        <f>X13</f>
        <v>225.33500000000001</v>
      </c>
      <c r="AF13" s="343"/>
      <c r="AG13" s="343">
        <f>AE13</f>
        <v>225.33500000000001</v>
      </c>
      <c r="AH13" s="343"/>
      <c r="AI13" s="344">
        <f>AD13*0.97</f>
        <v>437.1499</v>
      </c>
      <c r="AJ13" s="344">
        <f>AI13/2</f>
        <v>218.57495</v>
      </c>
      <c r="AK13" s="343"/>
      <c r="AL13" s="344">
        <f>AI13-AJ13</f>
        <v>218.57495</v>
      </c>
      <c r="AM13" s="484">
        <f>AI13-Y13</f>
        <v>-13.520100000000014</v>
      </c>
      <c r="AN13" s="484">
        <f>AI13-AD13</f>
        <v>-13.520100000000014</v>
      </c>
    </row>
    <row r="14" spans="1:40" s="1" customFormat="1" ht="16.5" customHeight="1">
      <c r="A14" s="7"/>
      <c r="B14" s="318" t="s">
        <v>136</v>
      </c>
      <c r="C14" s="6" t="s">
        <v>11</v>
      </c>
      <c r="D14" s="8"/>
      <c r="E14" s="8"/>
      <c r="F14" s="38"/>
      <c r="G14" s="8"/>
      <c r="H14" s="8"/>
      <c r="I14" s="8"/>
      <c r="J14" s="8"/>
      <c r="K14" s="8"/>
      <c r="L14" s="8"/>
      <c r="M14" s="8"/>
      <c r="N14" s="345"/>
      <c r="O14" s="350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519">
        <f>AI13/Y13</f>
        <v>0.97</v>
      </c>
      <c r="AN14" s="485"/>
    </row>
    <row r="15" spans="1:40" s="1" customFormat="1" ht="16.5" customHeight="1">
      <c r="A15" s="7"/>
      <c r="B15" s="318" t="s">
        <v>135</v>
      </c>
      <c r="C15" s="6" t="s">
        <v>11</v>
      </c>
      <c r="D15" s="8"/>
      <c r="E15" s="8"/>
      <c r="F15" s="38"/>
      <c r="G15" s="8"/>
      <c r="H15" s="8">
        <v>388</v>
      </c>
      <c r="I15" s="8">
        <v>194</v>
      </c>
      <c r="J15" s="8">
        <v>194</v>
      </c>
      <c r="K15" s="8"/>
      <c r="L15" s="8">
        <v>179.803</v>
      </c>
      <c r="M15" s="8">
        <f>H15</f>
        <v>388</v>
      </c>
      <c r="N15" s="345">
        <f>H15</f>
        <v>388</v>
      </c>
      <c r="O15" s="346">
        <f t="shared" si="0"/>
        <v>194</v>
      </c>
      <c r="P15" s="346"/>
      <c r="Q15" s="346">
        <f t="shared" si="1"/>
        <v>194</v>
      </c>
      <c r="R15" s="346"/>
      <c r="S15" s="346">
        <v>242.4</v>
      </c>
      <c r="T15" s="346"/>
      <c r="U15" s="346">
        <f t="shared" si="3"/>
        <v>388</v>
      </c>
      <c r="V15" s="346">
        <f>Q15</f>
        <v>194</v>
      </c>
      <c r="W15" s="346"/>
      <c r="X15" s="346">
        <f t="shared" si="4"/>
        <v>194</v>
      </c>
      <c r="Y15" s="346">
        <v>388</v>
      </c>
      <c r="Z15" s="346">
        <v>194</v>
      </c>
      <c r="AA15" s="346"/>
      <c r="AB15" s="346">
        <v>194</v>
      </c>
      <c r="AC15" s="346"/>
      <c r="AD15" s="346">
        <f t="shared" si="5"/>
        <v>388</v>
      </c>
      <c r="AE15" s="346">
        <f>X15</f>
        <v>194</v>
      </c>
      <c r="AF15" s="346"/>
      <c r="AG15" s="346">
        <f>AE15</f>
        <v>194</v>
      </c>
      <c r="AH15" s="346"/>
      <c r="AI15" s="346">
        <f>AI13-AI17-AI19</f>
        <v>374.47990000000004</v>
      </c>
      <c r="AJ15" s="346">
        <f>AI15/2</f>
        <v>187.23995000000002</v>
      </c>
      <c r="AK15" s="346"/>
      <c r="AL15" s="346">
        <f>AI15-AJ15</f>
        <v>187.23995000000002</v>
      </c>
      <c r="AM15" s="484"/>
      <c r="AN15" s="485"/>
    </row>
    <row r="16" spans="1:40" s="1" customFormat="1" ht="16.5" hidden="1" customHeight="1">
      <c r="A16" s="7"/>
      <c r="B16" s="319" t="s">
        <v>45</v>
      </c>
      <c r="C16" s="45" t="s">
        <v>11</v>
      </c>
      <c r="D16" s="8"/>
      <c r="E16" s="45"/>
      <c r="F16" s="38"/>
      <c r="G16" s="36"/>
      <c r="H16" s="40"/>
      <c r="I16" s="40"/>
      <c r="J16" s="40"/>
      <c r="K16" s="36"/>
      <c r="L16" s="36"/>
      <c r="M16" s="36"/>
      <c r="N16" s="351"/>
      <c r="O16" s="346">
        <f t="shared" si="0"/>
        <v>0</v>
      </c>
      <c r="P16" s="352"/>
      <c r="Q16" s="352"/>
      <c r="R16" s="352"/>
      <c r="S16" s="352"/>
      <c r="T16" s="352"/>
      <c r="U16" s="353">
        <f t="shared" si="3"/>
        <v>24.3</v>
      </c>
      <c r="V16" s="352">
        <v>12.15</v>
      </c>
      <c r="W16" s="352"/>
      <c r="X16" s="353">
        <f t="shared" si="4"/>
        <v>12.15</v>
      </c>
      <c r="Y16" s="353">
        <v>24.3</v>
      </c>
      <c r="Z16" s="352">
        <v>12.15</v>
      </c>
      <c r="AA16" s="352"/>
      <c r="AB16" s="353">
        <v>12.15</v>
      </c>
      <c r="AC16" s="353"/>
      <c r="AD16" s="353">
        <f t="shared" si="5"/>
        <v>12.35</v>
      </c>
      <c r="AE16" s="353">
        <v>12.15</v>
      </c>
      <c r="AF16" s="353"/>
      <c r="AG16" s="353">
        <v>0.2</v>
      </c>
      <c r="AH16" s="353"/>
      <c r="AI16" s="353"/>
      <c r="AJ16" s="346">
        <f t="shared" ref="AJ16:AJ19" si="6">AI16/2</f>
        <v>0</v>
      </c>
      <c r="AK16" s="353"/>
      <c r="AL16" s="346">
        <f t="shared" ref="AL16:AL19" si="7">AI16-AJ16</f>
        <v>0</v>
      </c>
      <c r="AM16" s="484"/>
      <c r="AN16" s="485"/>
    </row>
    <row r="17" spans="1:40" s="1" customFormat="1" ht="16.5" customHeight="1">
      <c r="A17" s="7"/>
      <c r="B17" s="318" t="s">
        <v>134</v>
      </c>
      <c r="C17" s="6" t="s">
        <v>11</v>
      </c>
      <c r="D17" s="8"/>
      <c r="E17" s="8"/>
      <c r="F17" s="38"/>
      <c r="G17" s="8"/>
      <c r="H17" s="8">
        <v>25.33</v>
      </c>
      <c r="I17" s="8">
        <v>12.67</v>
      </c>
      <c r="J17" s="8">
        <v>12.67</v>
      </c>
      <c r="K17" s="8"/>
      <c r="L17" s="8">
        <v>16.596</v>
      </c>
      <c r="M17" s="8">
        <f>H17</f>
        <v>25.33</v>
      </c>
      <c r="N17" s="345">
        <f>H17</f>
        <v>25.33</v>
      </c>
      <c r="O17" s="346">
        <f t="shared" si="0"/>
        <v>12.664999999999999</v>
      </c>
      <c r="P17" s="346"/>
      <c r="Q17" s="346">
        <f>N17-O17</f>
        <v>12.664999999999999</v>
      </c>
      <c r="R17" s="346"/>
      <c r="S17" s="346">
        <v>24.4</v>
      </c>
      <c r="T17" s="346"/>
      <c r="U17" s="346">
        <f t="shared" si="3"/>
        <v>25.33</v>
      </c>
      <c r="V17" s="346">
        <f>Q17</f>
        <v>12.664999999999999</v>
      </c>
      <c r="W17" s="346"/>
      <c r="X17" s="346">
        <f t="shared" si="4"/>
        <v>12.664999999999999</v>
      </c>
      <c r="Y17" s="346">
        <v>25.33</v>
      </c>
      <c r="Z17" s="346">
        <v>12.664999999999999</v>
      </c>
      <c r="AA17" s="346"/>
      <c r="AB17" s="346">
        <v>12.664999999999999</v>
      </c>
      <c r="AC17" s="346"/>
      <c r="AD17" s="346">
        <f t="shared" si="5"/>
        <v>25.33</v>
      </c>
      <c r="AE17" s="346">
        <f>X17</f>
        <v>12.664999999999999</v>
      </c>
      <c r="AF17" s="346"/>
      <c r="AG17" s="346">
        <f>AE17</f>
        <v>12.664999999999999</v>
      </c>
      <c r="AH17" s="346"/>
      <c r="AI17" s="346">
        <f>AD17</f>
        <v>25.33</v>
      </c>
      <c r="AJ17" s="346">
        <f t="shared" si="6"/>
        <v>12.664999999999999</v>
      </c>
      <c r="AK17" s="346"/>
      <c r="AL17" s="346">
        <f t="shared" si="7"/>
        <v>12.664999999999999</v>
      </c>
      <c r="AM17" s="484"/>
      <c r="AN17" s="485"/>
    </row>
    <row r="18" spans="1:40" s="1" customFormat="1" ht="16.5" hidden="1" customHeight="1">
      <c r="A18" s="7"/>
      <c r="B18" s="319" t="s">
        <v>45</v>
      </c>
      <c r="C18" s="45" t="s">
        <v>11</v>
      </c>
      <c r="D18" s="45"/>
      <c r="E18" s="45"/>
      <c r="F18" s="38"/>
      <c r="G18" s="36"/>
      <c r="H18" s="40"/>
      <c r="I18" s="40"/>
      <c r="J18" s="40"/>
      <c r="K18" s="36"/>
      <c r="L18" s="36"/>
      <c r="M18" s="36"/>
      <c r="N18" s="351"/>
      <c r="O18" s="346">
        <f t="shared" si="0"/>
        <v>0</v>
      </c>
      <c r="P18" s="352"/>
      <c r="Q18" s="352"/>
      <c r="R18" s="352"/>
      <c r="S18" s="352"/>
      <c r="T18" s="352"/>
      <c r="U18" s="353">
        <f t="shared" si="3"/>
        <v>3.5</v>
      </c>
      <c r="V18" s="352">
        <v>1.75</v>
      </c>
      <c r="W18" s="352"/>
      <c r="X18" s="353">
        <f t="shared" si="4"/>
        <v>1.75</v>
      </c>
      <c r="Y18" s="353">
        <v>3.5</v>
      </c>
      <c r="Z18" s="352">
        <v>1.75</v>
      </c>
      <c r="AA18" s="352"/>
      <c r="AB18" s="353">
        <v>1.75</v>
      </c>
      <c r="AC18" s="353"/>
      <c r="AD18" s="353">
        <f t="shared" si="5"/>
        <v>7.55</v>
      </c>
      <c r="AE18" s="353">
        <v>1.75</v>
      </c>
      <c r="AF18" s="353"/>
      <c r="AG18" s="353">
        <v>5.8</v>
      </c>
      <c r="AH18" s="353"/>
      <c r="AI18" s="353"/>
      <c r="AJ18" s="346">
        <f t="shared" si="6"/>
        <v>0</v>
      </c>
      <c r="AK18" s="353"/>
      <c r="AL18" s="346">
        <f t="shared" si="7"/>
        <v>0</v>
      </c>
      <c r="AM18" s="484"/>
      <c r="AN18" s="485"/>
    </row>
    <row r="19" spans="1:40" s="1" customFormat="1" ht="16.5" customHeight="1">
      <c r="A19" s="7"/>
      <c r="B19" s="318" t="s">
        <v>167</v>
      </c>
      <c r="C19" s="6" t="s">
        <v>11</v>
      </c>
      <c r="D19" s="6"/>
      <c r="E19" s="6"/>
      <c r="F19" s="38"/>
      <c r="G19" s="8"/>
      <c r="H19" s="8">
        <v>37.340000000000003</v>
      </c>
      <c r="I19" s="8">
        <f>H19/2</f>
        <v>18.670000000000002</v>
      </c>
      <c r="J19" s="8">
        <f>I19</f>
        <v>18.670000000000002</v>
      </c>
      <c r="K19" s="8"/>
      <c r="L19" s="8"/>
      <c r="M19" s="8">
        <f>H19</f>
        <v>37.340000000000003</v>
      </c>
      <c r="N19" s="345">
        <f>H19</f>
        <v>37.340000000000003</v>
      </c>
      <c r="O19" s="346">
        <f t="shared" si="0"/>
        <v>18.670000000000002</v>
      </c>
      <c r="P19" s="346"/>
      <c r="Q19" s="346">
        <f>N19-O19</f>
        <v>18.670000000000002</v>
      </c>
      <c r="R19" s="346"/>
      <c r="S19" s="346">
        <v>42</v>
      </c>
      <c r="T19" s="346"/>
      <c r="U19" s="345">
        <f>N19</f>
        <v>37.340000000000003</v>
      </c>
      <c r="V19" s="346">
        <f>U19/2</f>
        <v>18.670000000000002</v>
      </c>
      <c r="W19" s="346"/>
      <c r="X19" s="346">
        <f>U19-V19</f>
        <v>18.670000000000002</v>
      </c>
      <c r="Y19" s="345">
        <v>37.340000000000003</v>
      </c>
      <c r="Z19" s="346">
        <v>18.670000000000002</v>
      </c>
      <c r="AA19" s="346"/>
      <c r="AB19" s="346">
        <v>18.670000000000002</v>
      </c>
      <c r="AC19" s="346"/>
      <c r="AD19" s="345">
        <f>U19</f>
        <v>37.340000000000003</v>
      </c>
      <c r="AE19" s="346">
        <f>AD19/2</f>
        <v>18.670000000000002</v>
      </c>
      <c r="AF19" s="346"/>
      <c r="AG19" s="346">
        <f>AD19-AE19</f>
        <v>18.670000000000002</v>
      </c>
      <c r="AH19" s="346"/>
      <c r="AI19" s="345">
        <f>AD19</f>
        <v>37.340000000000003</v>
      </c>
      <c r="AJ19" s="346">
        <f t="shared" si="6"/>
        <v>18.670000000000002</v>
      </c>
      <c r="AK19" s="346"/>
      <c r="AL19" s="346">
        <f t="shared" si="7"/>
        <v>18.670000000000002</v>
      </c>
      <c r="AM19" s="484"/>
      <c r="AN19" s="485"/>
    </row>
    <row r="20" spans="1:40" hidden="1">
      <c r="A20" s="7"/>
      <c r="B20" s="183" t="s">
        <v>45</v>
      </c>
      <c r="C20" s="6" t="s">
        <v>11</v>
      </c>
      <c r="D20" s="6"/>
      <c r="E20" s="6"/>
      <c r="F20" s="38"/>
      <c r="G20" s="9"/>
      <c r="H20" s="8"/>
      <c r="I20" s="8"/>
      <c r="J20" s="8"/>
      <c r="K20" s="36"/>
      <c r="L20" s="36"/>
      <c r="M20" s="36"/>
      <c r="N20" s="36"/>
      <c r="O20" s="157"/>
      <c r="P20" s="156"/>
      <c r="Q20" s="156"/>
      <c r="R20" s="156"/>
      <c r="S20" s="156"/>
      <c r="T20" s="156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484"/>
      <c r="AN20" s="303"/>
    </row>
    <row r="21" spans="1:40">
      <c r="A21" s="525" t="s">
        <v>361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484"/>
      <c r="AN21" s="303"/>
    </row>
    <row r="22" spans="1:40" s="313" customFormat="1" ht="29.25" customHeight="1">
      <c r="A22" s="339" t="s">
        <v>369</v>
      </c>
      <c r="B22" s="340" t="s">
        <v>368</v>
      </c>
      <c r="C22" s="341" t="s">
        <v>4</v>
      </c>
      <c r="D22" s="342"/>
      <c r="E22" s="342"/>
      <c r="F22" s="342"/>
      <c r="G22" s="342"/>
      <c r="H22" s="342">
        <f>H24+H65+H77</f>
        <v>12777.669999999998</v>
      </c>
      <c r="I22" s="342">
        <f>I24+I65+I77</f>
        <v>6131.3180000000002</v>
      </c>
      <c r="J22" s="342">
        <f>J24+J65+J77</f>
        <v>6646.348</v>
      </c>
      <c r="K22" s="342"/>
      <c r="L22" s="342"/>
      <c r="M22" s="342">
        <f>M24+M65+M77</f>
        <v>14102.470006880001</v>
      </c>
      <c r="N22" s="354">
        <f>O22+Q22</f>
        <v>12888.444395091268</v>
      </c>
      <c r="O22" s="354">
        <f>O24+O65+O77</f>
        <v>6295.1131093196645</v>
      </c>
      <c r="P22" s="354"/>
      <c r="Q22" s="354">
        <f>Q24+Q65+Q77</f>
        <v>6593.3312857716037</v>
      </c>
      <c r="R22" s="354"/>
      <c r="S22" s="354">
        <v>12910</v>
      </c>
      <c r="T22" s="354"/>
      <c r="U22" s="354">
        <f>V22+X22</f>
        <v>13577.627010661798</v>
      </c>
      <c r="V22" s="354">
        <f>V24+V65+V77</f>
        <v>6598.2752042716038</v>
      </c>
      <c r="W22" s="355"/>
      <c r="X22" s="354">
        <f>X24+X65+X77</f>
        <v>6979.3518063901938</v>
      </c>
      <c r="Y22" s="354">
        <f>Y24+Y65+Y77</f>
        <v>13542.976312704352</v>
      </c>
      <c r="Z22" s="354">
        <f>Z24+Z65+Z77</f>
        <v>6647.3775390411265</v>
      </c>
      <c r="AA22" s="356"/>
      <c r="AB22" s="354">
        <f>AB24+AB65+AB77</f>
        <v>6895.5987736632233</v>
      </c>
      <c r="AC22" s="354"/>
      <c r="AD22" s="354">
        <f>AE22+AG22</f>
        <v>14311.665520462697</v>
      </c>
      <c r="AE22" s="354">
        <f>AE24+AE65+AE77</f>
        <v>6984.8451342939434</v>
      </c>
      <c r="AF22" s="355"/>
      <c r="AG22" s="354">
        <f>AG24+AG65+AG77</f>
        <v>7326.8203861687534</v>
      </c>
      <c r="AH22" s="354"/>
      <c r="AI22" s="354">
        <f t="shared" ref="AI22:AJ22" si="8">AI24+AI65+AI77</f>
        <v>13518.868410571869</v>
      </c>
      <c r="AJ22" s="354">
        <f t="shared" si="8"/>
        <v>6638.2498797725802</v>
      </c>
      <c r="AK22" s="356"/>
      <c r="AL22" s="354">
        <f>AL24+AL65+AL77</f>
        <v>6880.6185307992882</v>
      </c>
      <c r="AM22" s="484">
        <f>AI22-Y22</f>
        <v>-24.107902132482195</v>
      </c>
      <c r="AN22" s="484">
        <f>AI22-AD22</f>
        <v>-792.79710989082741</v>
      </c>
    </row>
    <row r="23" spans="1:40" ht="15.75">
      <c r="A23" s="44"/>
      <c r="B23" s="10" t="s">
        <v>166</v>
      </c>
      <c r="C23" s="44"/>
      <c r="D23" s="44"/>
      <c r="E23" s="306"/>
      <c r="F23" s="38"/>
      <c r="G23" s="303"/>
      <c r="H23" s="303"/>
      <c r="I23" s="303"/>
      <c r="J23" s="303"/>
      <c r="K23" s="303"/>
      <c r="L23" s="303"/>
      <c r="M23" s="306"/>
      <c r="N23" s="357"/>
      <c r="O23" s="358"/>
      <c r="P23" s="358"/>
      <c r="Q23" s="358"/>
      <c r="R23" s="358"/>
      <c r="S23" s="358"/>
      <c r="T23" s="358"/>
      <c r="U23" s="359">
        <f>U22/N22</f>
        <v>1.0534729090993336</v>
      </c>
      <c r="V23" s="360"/>
      <c r="W23" s="360"/>
      <c r="X23" s="361"/>
      <c r="Y23" s="359">
        <v>1.0534744407853458</v>
      </c>
      <c r="Z23" s="360"/>
      <c r="AA23" s="360"/>
      <c r="AB23" s="361"/>
      <c r="AC23" s="361"/>
      <c r="AD23" s="359">
        <f>AD22/U22</f>
        <v>1.0540623563472835</v>
      </c>
      <c r="AE23" s="360"/>
      <c r="AF23" s="360"/>
      <c r="AG23" s="359">
        <f>AG22/X22</f>
        <v>1.0497852220976198</v>
      </c>
      <c r="AH23" s="359"/>
      <c r="AI23" s="359"/>
      <c r="AJ23" s="360"/>
      <c r="AK23" s="360"/>
      <c r="AL23" s="359"/>
      <c r="AM23" s="484"/>
      <c r="AN23" s="303"/>
    </row>
    <row r="24" spans="1:40" s="313" customFormat="1" ht="29.25" customHeight="1">
      <c r="A24" s="339" t="s">
        <v>16</v>
      </c>
      <c r="B24" s="340" t="s">
        <v>5</v>
      </c>
      <c r="C24" s="341" t="s">
        <v>31</v>
      </c>
      <c r="D24" s="342"/>
      <c r="E24" s="342"/>
      <c r="F24" s="342"/>
      <c r="G24" s="342"/>
      <c r="H24" s="342">
        <f>H31+H35+H36+H37+H39+H42+H43+H54+H56+H59+H64</f>
        <v>7790.3899999999994</v>
      </c>
      <c r="I24" s="342">
        <f>I31+I35+I36+I37+I39+I42+I43+I54+I56+I59+I64</f>
        <v>3727.0880000000006</v>
      </c>
      <c r="J24" s="342">
        <f>J31+J35+J36+J37+J39+J42+J64+J43+J54+J56+J59</f>
        <v>4063.3179999999998</v>
      </c>
      <c r="K24" s="342"/>
      <c r="L24" s="342"/>
      <c r="M24" s="342">
        <f>M31+M35+M36+M37+M39+M42+M43+M54+M56+M59+M64</f>
        <v>8399.3260068800009</v>
      </c>
      <c r="N24" s="354">
        <f>O24+Q24</f>
        <v>7290.6522044136127</v>
      </c>
      <c r="O24" s="354">
        <f>O31+O35+O36+O37+O39+O42+O43+O54+O56+O59+O64+O50+O53</f>
        <v>3593.788238572487</v>
      </c>
      <c r="P24" s="354"/>
      <c r="Q24" s="354">
        <f>Q31+Q35+Q36+Q37+Q39+Q42+Q43+Q54+Q56+Q59+Q64+Q50+Q53</f>
        <v>3696.8639658411262</v>
      </c>
      <c r="R24" s="354"/>
      <c r="S24" s="354">
        <v>7356</v>
      </c>
      <c r="T24" s="354"/>
      <c r="U24" s="354">
        <f>V24+X24</f>
        <v>7576.3530115948042</v>
      </c>
      <c r="V24" s="354">
        <f>Q24</f>
        <v>3696.8639658411262</v>
      </c>
      <c r="W24" s="355">
        <f>(1-U25)*(1+U26)*(1+U28)</f>
        <v>1.0494000000000001</v>
      </c>
      <c r="X24" s="354">
        <f>Q24*(1-U25)*(1+U26)*(1+U28)</f>
        <v>3879.4890457536781</v>
      </c>
      <c r="Y24" s="354">
        <f>Z24+AB24</f>
        <v>7503.1551050711505</v>
      </c>
      <c r="Z24" s="354">
        <f>Z29+Z38+Z49+Z55</f>
        <v>3696.8639658411266</v>
      </c>
      <c r="AA24" s="356">
        <f>1*(1-Y25)*(1+Y26)</f>
        <v>1.0296000000000001</v>
      </c>
      <c r="AB24" s="354">
        <f>AB29+AB38+AB49+AB55</f>
        <v>3806.2911392300239</v>
      </c>
      <c r="AC24" s="354"/>
      <c r="AD24" s="354">
        <f>AE24+AG24</f>
        <v>7912.2179088146258</v>
      </c>
      <c r="AE24" s="354">
        <f>X24</f>
        <v>3879.4890457536781</v>
      </c>
      <c r="AF24" s="355">
        <f>(1-AD25)*(1+AD26)*(1+AD28)</f>
        <v>1.0395000000000001</v>
      </c>
      <c r="AG24" s="354">
        <f>AE24*(1-AD25)*(1+AD26)*(1+AD28)</f>
        <v>4032.7288630609482</v>
      </c>
      <c r="AH24" s="354"/>
      <c r="AI24" s="354">
        <f>AJ24+AL24</f>
        <v>7725.248496181257</v>
      </c>
      <c r="AJ24" s="354">
        <f>AB24</f>
        <v>3806.2911392300239</v>
      </c>
      <c r="AK24" s="356">
        <f>(1-AI25)*(1+AI26)*(1+AI28)</f>
        <v>1.0296000000000001</v>
      </c>
      <c r="AL24" s="354">
        <f>AJ24*AK24</f>
        <v>3918.9573569512327</v>
      </c>
      <c r="AM24" s="484">
        <f>AI24-Y24</f>
        <v>222.0933911101065</v>
      </c>
      <c r="AN24" s="484">
        <f>AI24-AD24</f>
        <v>-186.96941263336885</v>
      </c>
    </row>
    <row r="25" spans="1:40" s="1" customFormat="1" ht="15.75">
      <c r="A25" s="16"/>
      <c r="B25" s="321" t="s">
        <v>6</v>
      </c>
      <c r="C25" s="6" t="s">
        <v>7</v>
      </c>
      <c r="D25" s="6"/>
      <c r="E25" s="6"/>
      <c r="F25" s="38"/>
      <c r="G25" s="6"/>
      <c r="H25" s="6"/>
      <c r="I25" s="8"/>
      <c r="J25" s="8"/>
      <c r="K25" s="6"/>
      <c r="L25" s="6"/>
      <c r="M25" s="6"/>
      <c r="N25" s="11"/>
      <c r="O25" s="11"/>
      <c r="P25" s="11"/>
      <c r="Q25" s="11">
        <v>0.01</v>
      </c>
      <c r="R25" s="11"/>
      <c r="S25" s="11"/>
      <c r="T25" s="11"/>
      <c r="U25" s="11">
        <v>0.01</v>
      </c>
      <c r="V25" s="12"/>
      <c r="W25" s="12"/>
      <c r="X25" s="311"/>
      <c r="Y25" s="11">
        <v>0.01</v>
      </c>
      <c r="Z25" s="12"/>
      <c r="AA25" s="12"/>
      <c r="AB25" s="311"/>
      <c r="AC25" s="311"/>
      <c r="AD25" s="11">
        <v>0.01</v>
      </c>
      <c r="AE25" s="11"/>
      <c r="AF25" s="11"/>
      <c r="AG25" s="11"/>
      <c r="AH25" s="11"/>
      <c r="AI25" s="11">
        <v>0.01</v>
      </c>
      <c r="AJ25" s="11"/>
      <c r="AK25" s="11"/>
      <c r="AL25" s="11"/>
      <c r="AM25" s="484"/>
      <c r="AN25" s="485"/>
    </row>
    <row r="26" spans="1:40" s="1" customFormat="1" ht="15.75">
      <c r="A26" s="16"/>
      <c r="B26" s="321" t="s">
        <v>366</v>
      </c>
      <c r="C26" s="6" t="s">
        <v>7</v>
      </c>
      <c r="D26" s="6"/>
      <c r="E26" s="6"/>
      <c r="F26" s="38"/>
      <c r="G26" s="6"/>
      <c r="H26" s="6"/>
      <c r="I26" s="8"/>
      <c r="J26" s="8"/>
      <c r="K26" s="6"/>
      <c r="L26" s="6"/>
      <c r="M26" s="6"/>
      <c r="N26" s="13"/>
      <c r="O26" s="13"/>
      <c r="P26" s="13"/>
      <c r="Q26" s="13">
        <v>6.4000000000000001E-2</v>
      </c>
      <c r="R26" s="13"/>
      <c r="S26" s="13"/>
      <c r="T26" s="13"/>
      <c r="U26" s="13">
        <v>0.06</v>
      </c>
      <c r="V26" s="13"/>
      <c r="W26" s="13"/>
      <c r="X26" s="13"/>
      <c r="Y26" s="13">
        <v>0.04</v>
      </c>
      <c r="Z26" s="13"/>
      <c r="AA26" s="13"/>
      <c r="AB26" s="13"/>
      <c r="AC26" s="13"/>
      <c r="AD26" s="13">
        <v>0.05</v>
      </c>
      <c r="AE26" s="13"/>
      <c r="AF26" s="13"/>
      <c r="AG26" s="13"/>
      <c r="AH26" s="13"/>
      <c r="AI26" s="13">
        <v>0.04</v>
      </c>
      <c r="AJ26" s="13"/>
      <c r="AK26" s="13"/>
      <c r="AL26" s="13"/>
      <c r="AM26" s="484"/>
      <c r="AN26" s="485"/>
    </row>
    <row r="27" spans="1:40" s="1" customFormat="1" ht="15.75">
      <c r="A27" s="16"/>
      <c r="B27" s="322" t="s">
        <v>367</v>
      </c>
      <c r="C27" s="6" t="s">
        <v>7</v>
      </c>
      <c r="D27" s="6"/>
      <c r="E27" s="6"/>
      <c r="F27" s="38"/>
      <c r="G27" s="6"/>
      <c r="H27" s="6"/>
      <c r="I27" s="8"/>
      <c r="J27" s="8"/>
      <c r="K27" s="6"/>
      <c r="L27" s="6"/>
      <c r="M27" s="6"/>
      <c r="N27" s="14"/>
      <c r="O27" s="279"/>
      <c r="P27" s="14"/>
      <c r="Q27" s="14">
        <v>1.075</v>
      </c>
      <c r="R27" s="14"/>
      <c r="S27" s="14"/>
      <c r="T27" s="14"/>
      <c r="U27" s="14">
        <v>1.07</v>
      </c>
      <c r="V27" s="279"/>
      <c r="W27" s="279"/>
      <c r="X27" s="14"/>
      <c r="Y27" s="14">
        <v>5.0999999999999997E-2</v>
      </c>
      <c r="Z27" s="6">
        <f>Q24-Z24</f>
        <v>0</v>
      </c>
      <c r="AA27" s="279"/>
      <c r="AB27" s="378">
        <f>3806.29-AB24</f>
        <v>-1.1392300239094766E-3</v>
      </c>
      <c r="AC27" s="14"/>
      <c r="AD27" s="14">
        <v>1.0620000000000001</v>
      </c>
      <c r="AE27" s="279"/>
      <c r="AF27" s="279"/>
      <c r="AG27" s="10"/>
      <c r="AH27" s="10"/>
      <c r="AI27" s="14">
        <v>4.7E-2</v>
      </c>
      <c r="AJ27" s="279"/>
      <c r="AK27" s="279"/>
      <c r="AL27" s="10"/>
      <c r="AM27" s="484"/>
      <c r="AN27" s="485"/>
    </row>
    <row r="28" spans="1:40" ht="32.25" customHeight="1">
      <c r="A28" s="16"/>
      <c r="B28" s="323" t="s">
        <v>373</v>
      </c>
      <c r="C28" s="6" t="s">
        <v>7</v>
      </c>
      <c r="D28" s="6"/>
      <c r="E28" s="6"/>
      <c r="F28" s="38"/>
      <c r="G28" s="6"/>
      <c r="H28" s="6"/>
      <c r="I28" s="8"/>
      <c r="J28" s="8"/>
      <c r="K28" s="6"/>
      <c r="L28" s="6"/>
      <c r="M28" s="6"/>
      <c r="N28" s="6"/>
      <c r="O28" s="6"/>
      <c r="P28" s="6"/>
      <c r="Q28" s="6">
        <v>0</v>
      </c>
      <c r="R28" s="6"/>
      <c r="S28" s="6"/>
      <c r="T28" s="409"/>
      <c r="U28" s="6">
        <v>0</v>
      </c>
      <c r="V28" s="6">
        <v>0</v>
      </c>
      <c r="W28" s="6"/>
      <c r="X28" s="6">
        <v>0</v>
      </c>
      <c r="Y28" s="6">
        <v>0</v>
      </c>
      <c r="Z28" s="6">
        <v>0</v>
      </c>
      <c r="AA28" s="6"/>
      <c r="AB28" s="6">
        <v>0</v>
      </c>
      <c r="AC28" s="6"/>
      <c r="AD28" s="6">
        <v>0</v>
      </c>
      <c r="AE28" s="6">
        <v>0</v>
      </c>
      <c r="AF28" s="6"/>
      <c r="AG28" s="35">
        <v>0</v>
      </c>
      <c r="AH28" s="35"/>
      <c r="AI28" s="6">
        <v>0</v>
      </c>
      <c r="AJ28" s="6"/>
      <c r="AK28" s="6"/>
      <c r="AL28" s="35"/>
      <c r="AM28" s="484"/>
      <c r="AN28" s="303"/>
    </row>
    <row r="29" spans="1:40" ht="15.75">
      <c r="A29" s="43" t="s">
        <v>17</v>
      </c>
      <c r="B29" s="324" t="s">
        <v>12</v>
      </c>
      <c r="C29" s="6"/>
      <c r="D29" s="6"/>
      <c r="E29" s="6"/>
      <c r="F29" s="38"/>
      <c r="G29" s="15"/>
      <c r="H29" s="15"/>
      <c r="I29" s="15"/>
      <c r="J29" s="15"/>
      <c r="K29" s="15"/>
      <c r="L29" s="15"/>
      <c r="M29" s="15"/>
      <c r="N29" s="362"/>
      <c r="O29" s="362"/>
      <c r="P29" s="362"/>
      <c r="Q29" s="362"/>
      <c r="R29" s="362"/>
      <c r="S29" s="362">
        <v>2384</v>
      </c>
      <c r="T29" s="362"/>
      <c r="U29" s="345"/>
      <c r="V29" s="345"/>
      <c r="W29" s="345"/>
      <c r="X29" s="345"/>
      <c r="Y29" s="362">
        <f>Z29+AB29</f>
        <v>2626.4589065775494</v>
      </c>
      <c r="Z29" s="375">
        <f>Z31+Z35+Z36+Z37</f>
        <v>1294.0771120307202</v>
      </c>
      <c r="AA29" s="345"/>
      <c r="AB29" s="375">
        <f>AB31+AB35+AB36+AB37</f>
        <v>1332.3817945468293</v>
      </c>
      <c r="AC29" s="345"/>
      <c r="AD29" s="345"/>
      <c r="AE29" s="345"/>
      <c r="AF29" s="345"/>
      <c r="AG29" s="363"/>
      <c r="AH29" s="363"/>
      <c r="AI29" s="375">
        <f t="shared" ref="AI29:AL29" si="9">AI31+AI35+AI36+AI37</f>
        <v>2704.2020902122449</v>
      </c>
      <c r="AJ29" s="375">
        <f t="shared" si="9"/>
        <v>1332.3817945468293</v>
      </c>
      <c r="AK29" s="375"/>
      <c r="AL29" s="375">
        <f t="shared" si="9"/>
        <v>1371.8202956654159</v>
      </c>
      <c r="AM29" s="484"/>
      <c r="AN29" s="303"/>
    </row>
    <row r="30" spans="1:40" ht="15.75" hidden="1">
      <c r="A30" s="16" t="s">
        <v>37</v>
      </c>
      <c r="B30" s="316" t="s">
        <v>48</v>
      </c>
      <c r="C30" s="45" t="s">
        <v>4</v>
      </c>
      <c r="D30" s="45"/>
      <c r="E30" s="45"/>
      <c r="F30" s="168"/>
      <c r="G30" s="15"/>
      <c r="H30" s="15"/>
      <c r="I30" s="15"/>
      <c r="J30" s="15"/>
      <c r="K30" s="8"/>
      <c r="L30" s="8"/>
      <c r="M30" s="1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63"/>
      <c r="AH30" s="363"/>
      <c r="AI30" s="345"/>
      <c r="AJ30" s="345"/>
      <c r="AK30" s="345"/>
      <c r="AL30" s="363"/>
      <c r="AM30" s="484"/>
      <c r="AN30" s="303"/>
    </row>
    <row r="31" spans="1:40" ht="15.75">
      <c r="A31" s="16" t="s">
        <v>37</v>
      </c>
      <c r="B31" s="321" t="s">
        <v>59</v>
      </c>
      <c r="C31" s="45" t="s">
        <v>4</v>
      </c>
      <c r="D31" s="15"/>
      <c r="E31" s="15"/>
      <c r="F31" s="168"/>
      <c r="G31" s="15"/>
      <c r="H31" s="15">
        <v>945.37</v>
      </c>
      <c r="I31" s="15">
        <v>460.03</v>
      </c>
      <c r="J31" s="15">
        <v>485.33</v>
      </c>
      <c r="K31" s="15"/>
      <c r="L31" s="15"/>
      <c r="M31" s="15">
        <f>M32*M33*12/1000</f>
        <v>1067.735328</v>
      </c>
      <c r="N31" s="362">
        <f>O31+Q31</f>
        <v>1001.7298713600001</v>
      </c>
      <c r="O31" s="362">
        <f>O32*O33*6/1000</f>
        <v>485.33423999999997</v>
      </c>
      <c r="P31" s="364">
        <v>1.0640000000000001</v>
      </c>
      <c r="Q31" s="362">
        <f>Q32*Q33*6/1000</f>
        <v>516.39563136000004</v>
      </c>
      <c r="R31" s="362"/>
      <c r="S31" s="362">
        <v>1160</v>
      </c>
      <c r="T31" s="362"/>
      <c r="U31" s="362"/>
      <c r="V31" s="345"/>
      <c r="W31" s="364">
        <v>1.06</v>
      </c>
      <c r="X31" s="345"/>
      <c r="Y31" s="345">
        <f>Z31+AB31</f>
        <v>1048.0765734082561</v>
      </c>
      <c r="Z31" s="345">
        <f>Q31</f>
        <v>516.39563136000004</v>
      </c>
      <c r="AA31" s="364"/>
      <c r="AB31" s="345">
        <f>Z31*$AA$24</f>
        <v>531.68094204825604</v>
      </c>
      <c r="AC31" s="345"/>
      <c r="AD31" s="345" t="s">
        <v>40</v>
      </c>
      <c r="AE31" s="345"/>
      <c r="AF31" s="364">
        <v>1.05</v>
      </c>
      <c r="AG31" s="363"/>
      <c r="AH31" s="363"/>
      <c r="AI31" s="345">
        <f>AJ31+AL31</f>
        <v>1079.0996399811406</v>
      </c>
      <c r="AJ31" s="345">
        <f>AB31</f>
        <v>531.68094204825604</v>
      </c>
      <c r="AK31" s="364"/>
      <c r="AL31" s="363">
        <f>AJ31*$AK$24</f>
        <v>547.41869793288447</v>
      </c>
      <c r="AM31" s="484"/>
      <c r="AN31" s="303"/>
    </row>
    <row r="32" spans="1:40" s="49" customFormat="1" ht="15.75">
      <c r="A32" s="46"/>
      <c r="B32" s="325" t="s">
        <v>13</v>
      </c>
      <c r="C32" s="45" t="s">
        <v>50</v>
      </c>
      <c r="D32" s="36"/>
      <c r="E32" s="36"/>
      <c r="F32" s="182"/>
      <c r="G32" s="36"/>
      <c r="H32" s="37">
        <v>8</v>
      </c>
      <c r="I32" s="36">
        <v>8</v>
      </c>
      <c r="J32" s="36">
        <v>8</v>
      </c>
      <c r="K32" s="36"/>
      <c r="L32" s="36"/>
      <c r="M32" s="36">
        <f>J32</f>
        <v>8</v>
      </c>
      <c r="N32" s="351">
        <f>J32</f>
        <v>8</v>
      </c>
      <c r="O32" s="351">
        <f>J32</f>
        <v>8</v>
      </c>
      <c r="P32" s="365"/>
      <c r="Q32" s="365">
        <f>O32</f>
        <v>8</v>
      </c>
      <c r="R32" s="365"/>
      <c r="S32" s="365">
        <v>8</v>
      </c>
      <c r="T32" s="365"/>
      <c r="U32" s="366"/>
      <c r="V32" s="366"/>
      <c r="W32" s="366"/>
      <c r="X32" s="366"/>
      <c r="Y32" s="366"/>
      <c r="Z32" s="366"/>
      <c r="AA32" s="366"/>
      <c r="AB32" s="366">
        <v>8</v>
      </c>
      <c r="AC32" s="366"/>
      <c r="AD32" s="366"/>
      <c r="AE32" s="366"/>
      <c r="AF32" s="366"/>
      <c r="AG32" s="366"/>
      <c r="AH32" s="366"/>
      <c r="AI32" s="366">
        <v>8</v>
      </c>
      <c r="AJ32" s="366">
        <v>8</v>
      </c>
      <c r="AK32" s="366"/>
      <c r="AL32" s="366">
        <v>8</v>
      </c>
      <c r="AM32" s="484"/>
      <c r="AN32" s="487"/>
    </row>
    <row r="33" spans="1:40" s="49" customFormat="1" ht="15.75">
      <c r="A33" s="46"/>
      <c r="B33" s="325" t="s">
        <v>14</v>
      </c>
      <c r="C33" s="45" t="s">
        <v>51</v>
      </c>
      <c r="D33" s="36"/>
      <c r="E33" s="36"/>
      <c r="F33" s="182"/>
      <c r="G33" s="36"/>
      <c r="H33" s="37">
        <v>9847.57</v>
      </c>
      <c r="I33" s="36">
        <v>9584.01</v>
      </c>
      <c r="J33" s="36">
        <v>10111.129999999999</v>
      </c>
      <c r="K33" s="36"/>
      <c r="L33" s="36"/>
      <c r="M33" s="36">
        <f>J33*1.1</f>
        <v>11122.243</v>
      </c>
      <c r="N33" s="351">
        <f>N31/N32/12*1000</f>
        <v>10434.686159999999</v>
      </c>
      <c r="O33" s="351">
        <f>J33</f>
        <v>10111.129999999999</v>
      </c>
      <c r="P33" s="365"/>
      <c r="Q33" s="365">
        <f>O33*P31</f>
        <v>10758.242319999999</v>
      </c>
      <c r="R33" s="365"/>
      <c r="S33" s="365">
        <v>12083.33</v>
      </c>
      <c r="T33" s="365"/>
      <c r="U33" s="366"/>
      <c r="V33" s="366"/>
      <c r="W33" s="366"/>
      <c r="X33" s="366"/>
      <c r="Y33" s="366"/>
      <c r="Z33" s="366"/>
      <c r="AA33" s="366"/>
      <c r="AB33" s="376">
        <f>AB31/AB32/6*1000</f>
        <v>11076.686292672</v>
      </c>
      <c r="AC33" s="366"/>
      <c r="AD33" s="366"/>
      <c r="AE33" s="366"/>
      <c r="AF33" s="366"/>
      <c r="AG33" s="367"/>
      <c r="AH33" s="367"/>
      <c r="AI33" s="376">
        <f>AI31/AI32/12*1000</f>
        <v>11240.621249803547</v>
      </c>
      <c r="AJ33" s="376">
        <f>AJ31/AJ32/6*1000</f>
        <v>11076.686292672</v>
      </c>
      <c r="AK33" s="366"/>
      <c r="AL33" s="376">
        <f>AL31/AL32/6*1000</f>
        <v>11404.556206935093</v>
      </c>
      <c r="AM33" s="484"/>
      <c r="AN33" s="487"/>
    </row>
    <row r="34" spans="1:40" s="49" customFormat="1" ht="15.75">
      <c r="A34" s="46"/>
      <c r="B34" s="325" t="s">
        <v>173</v>
      </c>
      <c r="C34" s="45" t="s">
        <v>51</v>
      </c>
      <c r="D34" s="36"/>
      <c r="E34" s="36"/>
      <c r="F34" s="181"/>
      <c r="G34" s="40"/>
      <c r="H34" s="181">
        <v>7056</v>
      </c>
      <c r="I34" s="36"/>
      <c r="J34" s="36"/>
      <c r="K34" s="40"/>
      <c r="L34" s="40"/>
      <c r="M34" s="40"/>
      <c r="N34" s="351"/>
      <c r="O34" s="351"/>
      <c r="P34" s="365"/>
      <c r="Q34" s="365"/>
      <c r="R34" s="365"/>
      <c r="S34" s="365"/>
      <c r="T34" s="365"/>
      <c r="U34" s="366">
        <v>7056</v>
      </c>
      <c r="V34" s="366"/>
      <c r="W34" s="366"/>
      <c r="X34" s="366"/>
      <c r="Y34" s="366"/>
      <c r="Z34" s="366"/>
      <c r="AA34" s="366"/>
      <c r="AB34" s="366"/>
      <c r="AC34" s="366">
        <v>7056</v>
      </c>
      <c r="AD34" s="366"/>
      <c r="AE34" s="366"/>
      <c r="AF34" s="366"/>
      <c r="AG34" s="367"/>
      <c r="AH34" s="367"/>
      <c r="AI34" s="366"/>
      <c r="AJ34" s="366"/>
      <c r="AK34" s="366"/>
      <c r="AL34" s="367"/>
      <c r="AM34" s="484"/>
      <c r="AN34" s="487"/>
    </row>
    <row r="35" spans="1:40" ht="15.75">
      <c r="A35" s="16" t="s">
        <v>38</v>
      </c>
      <c r="B35" s="321" t="s">
        <v>178</v>
      </c>
      <c r="C35" s="14" t="s">
        <v>31</v>
      </c>
      <c r="D35" s="296"/>
      <c r="E35" s="15"/>
      <c r="F35" s="168"/>
      <c r="G35" s="15"/>
      <c r="H35" s="15">
        <v>285.5</v>
      </c>
      <c r="I35" s="15">
        <v>138.93</v>
      </c>
      <c r="J35" s="15">
        <v>146.57</v>
      </c>
      <c r="K35" s="15"/>
      <c r="L35" s="15"/>
      <c r="M35" s="15">
        <f>M31*0.302</f>
        <v>322.45606905599999</v>
      </c>
      <c r="N35" s="345">
        <f>O35+Q35</f>
        <v>302.52242115071999</v>
      </c>
      <c r="O35" s="362">
        <f>O31*0.302</f>
        <v>146.57094047999999</v>
      </c>
      <c r="P35" s="362"/>
      <c r="Q35" s="362">
        <f>Q31*0.302</f>
        <v>155.95148067072</v>
      </c>
      <c r="R35" s="362"/>
      <c r="S35" s="345">
        <v>343</v>
      </c>
      <c r="T35" s="345"/>
      <c r="U35" s="345"/>
      <c r="V35" s="345"/>
      <c r="W35" s="345"/>
      <c r="X35" s="345"/>
      <c r="Y35" s="345">
        <f>Z35+AB35</f>
        <v>316.51912516929332</v>
      </c>
      <c r="Z35" s="345">
        <f>Q35</f>
        <v>155.95148067072</v>
      </c>
      <c r="AA35" s="364"/>
      <c r="AB35" s="345">
        <f>Z35*$AA$24</f>
        <v>160.56764449857332</v>
      </c>
      <c r="AC35" s="345"/>
      <c r="AD35" s="345"/>
      <c r="AE35" s="345"/>
      <c r="AF35" s="345"/>
      <c r="AG35" s="345"/>
      <c r="AH35" s="345"/>
      <c r="AI35" s="345">
        <f t="shared" ref="AI35:AI37" si="10">AJ35+AL35</f>
        <v>325.88809127430443</v>
      </c>
      <c r="AJ35" s="345">
        <f>AB35</f>
        <v>160.56764449857332</v>
      </c>
      <c r="AK35" s="345"/>
      <c r="AL35" s="363">
        <f>AJ35*$AK$24</f>
        <v>165.32044677573109</v>
      </c>
      <c r="AM35" s="484"/>
      <c r="AN35" s="303"/>
    </row>
    <row r="36" spans="1:40" ht="15.75">
      <c r="A36" s="16" t="s">
        <v>52</v>
      </c>
      <c r="B36" s="321" t="s">
        <v>169</v>
      </c>
      <c r="C36" s="14" t="s">
        <v>31</v>
      </c>
      <c r="D36" s="296"/>
      <c r="E36" s="15"/>
      <c r="F36" s="38"/>
      <c r="G36" s="15"/>
      <c r="H36" s="15">
        <v>1055.48</v>
      </c>
      <c r="I36" s="15">
        <v>494.8</v>
      </c>
      <c r="J36" s="15">
        <v>560.69000000000005</v>
      </c>
      <c r="K36" s="15"/>
      <c r="L36" s="15"/>
      <c r="M36" s="15">
        <v>1107.6300000000001</v>
      </c>
      <c r="N36" s="345">
        <f>O36+Q36</f>
        <v>1055.48</v>
      </c>
      <c r="O36" s="362">
        <f>H36/2</f>
        <v>527.74</v>
      </c>
      <c r="P36" s="362"/>
      <c r="Q36" s="362">
        <f>O36</f>
        <v>527.74</v>
      </c>
      <c r="R36" s="362"/>
      <c r="S36" s="345">
        <v>425</v>
      </c>
      <c r="T36" s="345"/>
      <c r="U36" s="345"/>
      <c r="V36" s="345"/>
      <c r="W36" s="345"/>
      <c r="X36" s="345"/>
      <c r="Y36" s="345">
        <f>Z36+AB36</f>
        <v>1071.1011040000001</v>
      </c>
      <c r="Z36" s="345">
        <f>Q36</f>
        <v>527.74</v>
      </c>
      <c r="AA36" s="364"/>
      <c r="AB36" s="345">
        <f>Z36*$AA$24</f>
        <v>543.36110400000007</v>
      </c>
      <c r="AC36" s="345"/>
      <c r="AD36" s="345"/>
      <c r="AE36" s="345"/>
      <c r="AF36" s="345"/>
      <c r="AG36" s="345"/>
      <c r="AH36" s="345"/>
      <c r="AI36" s="345">
        <f t="shared" si="10"/>
        <v>1102.8056966784002</v>
      </c>
      <c r="AJ36" s="345">
        <f>AB36</f>
        <v>543.36110400000007</v>
      </c>
      <c r="AK36" s="345"/>
      <c r="AL36" s="363">
        <f>AJ36*$AK$24</f>
        <v>559.44459267840011</v>
      </c>
      <c r="AM36" s="484"/>
      <c r="AN36" s="303"/>
    </row>
    <row r="37" spans="1:40" ht="15.75">
      <c r="A37" s="16" t="s">
        <v>170</v>
      </c>
      <c r="B37" s="326" t="s">
        <v>63</v>
      </c>
      <c r="C37" s="14" t="s">
        <v>31</v>
      </c>
      <c r="D37" s="163"/>
      <c r="E37" s="163"/>
      <c r="F37" s="168"/>
      <c r="G37" s="15"/>
      <c r="H37" s="15">
        <v>187.98</v>
      </c>
      <c r="I37" s="15">
        <v>90.2</v>
      </c>
      <c r="J37" s="15">
        <v>97.78</v>
      </c>
      <c r="K37" s="15"/>
      <c r="L37" s="15"/>
      <c r="M37" s="15">
        <f>H37</f>
        <v>187.98</v>
      </c>
      <c r="N37" s="345">
        <f>O37+Q37</f>
        <v>187.98</v>
      </c>
      <c r="O37" s="362">
        <f>H37/2</f>
        <v>93.99</v>
      </c>
      <c r="P37" s="364">
        <f>P43</f>
        <v>1.0569999999999999</v>
      </c>
      <c r="Q37" s="362">
        <f>O37</f>
        <v>93.99</v>
      </c>
      <c r="R37" s="362"/>
      <c r="S37" s="345">
        <v>456</v>
      </c>
      <c r="T37" s="345"/>
      <c r="U37" s="345"/>
      <c r="V37" s="345"/>
      <c r="W37" s="345"/>
      <c r="X37" s="345"/>
      <c r="Y37" s="345">
        <f>Z37+AB37</f>
        <v>190.76210399999999</v>
      </c>
      <c r="Z37" s="345">
        <f>Q37</f>
        <v>93.99</v>
      </c>
      <c r="AA37" s="364"/>
      <c r="AB37" s="345">
        <f>Z37*$AA$24</f>
        <v>96.772103999999999</v>
      </c>
      <c r="AC37" s="345"/>
      <c r="AD37" s="345"/>
      <c r="AE37" s="345"/>
      <c r="AF37" s="345"/>
      <c r="AG37" s="345"/>
      <c r="AH37" s="345"/>
      <c r="AI37" s="345">
        <f t="shared" si="10"/>
        <v>196.40866227840002</v>
      </c>
      <c r="AJ37" s="345">
        <f>AB37</f>
        <v>96.772103999999999</v>
      </c>
      <c r="AK37" s="345"/>
      <c r="AL37" s="363">
        <f>AJ37*$AK$24</f>
        <v>99.636558278400003</v>
      </c>
      <c r="AM37" s="484"/>
      <c r="AN37" s="303"/>
    </row>
    <row r="38" spans="1:40" ht="15.75">
      <c r="A38" s="43" t="s">
        <v>18</v>
      </c>
      <c r="B38" s="324" t="s">
        <v>15</v>
      </c>
      <c r="C38" s="6"/>
      <c r="D38" s="6"/>
      <c r="E38" s="6"/>
      <c r="F38" s="38"/>
      <c r="G38" s="15"/>
      <c r="H38" s="15"/>
      <c r="I38" s="15"/>
      <c r="J38" s="15"/>
      <c r="K38" s="15"/>
      <c r="L38" s="15"/>
      <c r="M38" s="15"/>
      <c r="N38" s="362"/>
      <c r="O38" s="362"/>
      <c r="P38" s="362"/>
      <c r="Q38" s="362"/>
      <c r="R38" s="362"/>
      <c r="S38" s="362">
        <v>2203</v>
      </c>
      <c r="T38" s="362"/>
      <c r="U38" s="345"/>
      <c r="V38" s="345"/>
      <c r="W38" s="345"/>
      <c r="X38" s="345"/>
      <c r="Y38" s="375">
        <f>Z38+AB38</f>
        <v>1809.6544513233684</v>
      </c>
      <c r="Z38" s="375">
        <f>Z39+Z42+Z43</f>
        <v>891.63108559488001</v>
      </c>
      <c r="AA38" s="345"/>
      <c r="AB38" s="375">
        <f>AB39+AB42+AB43</f>
        <v>918.02336572848844</v>
      </c>
      <c r="AC38" s="345"/>
      <c r="AD38" s="345"/>
      <c r="AE38" s="345"/>
      <c r="AF38" s="345"/>
      <c r="AG38" s="363"/>
      <c r="AH38" s="363"/>
      <c r="AI38" s="380">
        <f t="shared" ref="AI38:AL38" si="11">AI39+AI42+AI43</f>
        <v>1863.2202230825403</v>
      </c>
      <c r="AJ38" s="380">
        <f t="shared" si="11"/>
        <v>918.02336572848844</v>
      </c>
      <c r="AK38" s="345"/>
      <c r="AL38" s="380">
        <f t="shared" si="11"/>
        <v>945.19685735405187</v>
      </c>
      <c r="AM38" s="484"/>
      <c r="AN38" s="303"/>
    </row>
    <row r="39" spans="1:40" ht="15.75">
      <c r="A39" s="16" t="s">
        <v>53</v>
      </c>
      <c r="B39" s="321" t="s">
        <v>81</v>
      </c>
      <c r="C39" s="45" t="s">
        <v>4</v>
      </c>
      <c r="D39" s="45"/>
      <c r="E39" s="45"/>
      <c r="F39" s="168"/>
      <c r="G39" s="15"/>
      <c r="H39" s="168">
        <v>863.51</v>
      </c>
      <c r="I39" s="15">
        <v>420.2</v>
      </c>
      <c r="J39" s="15">
        <v>443.31</v>
      </c>
      <c r="K39" s="15"/>
      <c r="L39" s="15"/>
      <c r="M39" s="15">
        <f>M40*M41*12/1000</f>
        <v>975.28411200000005</v>
      </c>
      <c r="N39" s="362">
        <f>O39+Q39</f>
        <v>914.99382144000003</v>
      </c>
      <c r="O39" s="362">
        <f>O40*O41*6/1000</f>
        <v>443.31096000000002</v>
      </c>
      <c r="P39" s="364">
        <v>1.0640000000000001</v>
      </c>
      <c r="Q39" s="362">
        <f>Q40*Q41*6/1000</f>
        <v>471.68286144000001</v>
      </c>
      <c r="R39" s="362"/>
      <c r="S39" s="362">
        <v>1075</v>
      </c>
      <c r="T39" s="362"/>
      <c r="U39" s="345"/>
      <c r="V39" s="345"/>
      <c r="W39" s="364">
        <v>1.06</v>
      </c>
      <c r="X39" s="345"/>
      <c r="Y39" s="345">
        <f>Z39+AB39</f>
        <v>957.32753557862407</v>
      </c>
      <c r="Z39" s="345">
        <f>Q39</f>
        <v>471.68286144000001</v>
      </c>
      <c r="AA39" s="364"/>
      <c r="AB39" s="345">
        <f>Z39*$AA$24</f>
        <v>485.64467413862405</v>
      </c>
      <c r="AC39" s="345"/>
      <c r="AD39" s="345"/>
      <c r="AE39" s="345"/>
      <c r="AF39" s="364">
        <v>1.05</v>
      </c>
      <c r="AG39" s="363"/>
      <c r="AH39" s="363"/>
      <c r="AI39" s="345">
        <f>AJ39+AL39</f>
        <v>985.66443063175143</v>
      </c>
      <c r="AJ39" s="345">
        <f>AB39</f>
        <v>485.64467413862405</v>
      </c>
      <c r="AK39" s="364"/>
      <c r="AL39" s="363">
        <f>AJ39*$AK$24</f>
        <v>500.01975649312737</v>
      </c>
      <c r="AM39" s="484"/>
      <c r="AN39" s="303"/>
    </row>
    <row r="40" spans="1:40" ht="15.75">
      <c r="A40" s="16"/>
      <c r="B40" s="325" t="s">
        <v>13</v>
      </c>
      <c r="C40" s="45" t="s">
        <v>50</v>
      </c>
      <c r="D40" s="45"/>
      <c r="E40" s="45"/>
      <c r="F40" s="182"/>
      <c r="G40" s="36"/>
      <c r="H40" s="41">
        <v>4</v>
      </c>
      <c r="I40" s="37">
        <v>4</v>
      </c>
      <c r="J40" s="37">
        <v>4</v>
      </c>
      <c r="K40" s="37"/>
      <c r="L40" s="37"/>
      <c r="M40" s="36">
        <f>J40</f>
        <v>4</v>
      </c>
      <c r="N40" s="365">
        <f>J40</f>
        <v>4</v>
      </c>
      <c r="O40" s="365">
        <f>J40</f>
        <v>4</v>
      </c>
      <c r="P40" s="365"/>
      <c r="Q40" s="365">
        <f>O40</f>
        <v>4</v>
      </c>
      <c r="R40" s="365"/>
      <c r="S40" s="365">
        <v>4</v>
      </c>
      <c r="T40" s="365"/>
      <c r="U40" s="345"/>
      <c r="V40" s="345"/>
      <c r="W40" s="345"/>
      <c r="X40" s="345"/>
      <c r="Y40" s="345"/>
      <c r="Z40" s="345"/>
      <c r="AA40" s="345"/>
      <c r="AB40" s="345">
        <v>4</v>
      </c>
      <c r="AC40" s="345"/>
      <c r="AD40" s="345"/>
      <c r="AE40" s="345"/>
      <c r="AF40" s="345"/>
      <c r="AG40" s="363"/>
      <c r="AH40" s="363"/>
      <c r="AI40" s="345">
        <v>4</v>
      </c>
      <c r="AJ40" s="345">
        <v>4</v>
      </c>
      <c r="AK40" s="345"/>
      <c r="AL40" s="345">
        <v>4</v>
      </c>
      <c r="AM40" s="484"/>
      <c r="AN40" s="303"/>
    </row>
    <row r="41" spans="1:40" ht="15.75">
      <c r="A41" s="16"/>
      <c r="B41" s="325" t="s">
        <v>14</v>
      </c>
      <c r="C41" s="45" t="s">
        <v>51</v>
      </c>
      <c r="D41" s="45"/>
      <c r="E41" s="45"/>
      <c r="F41" s="182"/>
      <c r="G41" s="36"/>
      <c r="H41" s="41">
        <v>17989.810000000001</v>
      </c>
      <c r="I41" s="37">
        <v>17508.330000000002</v>
      </c>
      <c r="J41" s="37">
        <v>18471.29</v>
      </c>
      <c r="K41" s="37"/>
      <c r="L41" s="37"/>
      <c r="M41" s="36">
        <f>J41*1.1</f>
        <v>20318.419000000002</v>
      </c>
      <c r="N41" s="365">
        <f>N39/N40/12*1000</f>
        <v>19062.371279999999</v>
      </c>
      <c r="O41" s="365">
        <f>J41</f>
        <v>18471.29</v>
      </c>
      <c r="P41" s="365"/>
      <c r="Q41" s="365">
        <f>O41*P39</f>
        <v>19653.452560000002</v>
      </c>
      <c r="R41" s="365"/>
      <c r="S41" s="365">
        <v>22395.83</v>
      </c>
      <c r="T41" s="365"/>
      <c r="U41" s="345"/>
      <c r="V41" s="345"/>
      <c r="W41" s="345"/>
      <c r="X41" s="345"/>
      <c r="Y41" s="345"/>
      <c r="Z41" s="345"/>
      <c r="AA41" s="345"/>
      <c r="AB41" s="376">
        <f>AB39/AB40/6*1000</f>
        <v>20235.194755776003</v>
      </c>
      <c r="AC41" s="345"/>
      <c r="AD41" s="345"/>
      <c r="AE41" s="345"/>
      <c r="AF41" s="345"/>
      <c r="AG41" s="363"/>
      <c r="AH41" s="363"/>
      <c r="AI41" s="376">
        <f>AI39/AI40/12*1000</f>
        <v>20534.675638161487</v>
      </c>
      <c r="AJ41" s="376">
        <f>AJ39/AJ40/6*1000</f>
        <v>20235.194755776003</v>
      </c>
      <c r="AK41" s="345"/>
      <c r="AL41" s="376">
        <f>AL39/AL40/6*1000</f>
        <v>20834.156520546974</v>
      </c>
      <c r="AM41" s="484"/>
      <c r="AN41" s="303"/>
    </row>
    <row r="42" spans="1:40" ht="15.75">
      <c r="A42" s="16" t="s">
        <v>54</v>
      </c>
      <c r="B42" s="321" t="s">
        <v>179</v>
      </c>
      <c r="C42" s="14" t="s">
        <v>31</v>
      </c>
      <c r="D42" s="14"/>
      <c r="E42" s="14"/>
      <c r="F42" s="168"/>
      <c r="G42" s="15"/>
      <c r="H42" s="168">
        <v>260.77999999999997</v>
      </c>
      <c r="I42" s="15">
        <v>126.9</v>
      </c>
      <c r="J42" s="15">
        <v>133.88</v>
      </c>
      <c r="K42" s="15"/>
      <c r="L42" s="15"/>
      <c r="M42" s="15">
        <f>M39*0.302</f>
        <v>294.53580182400003</v>
      </c>
      <c r="N42" s="362">
        <f>O42+Q42</f>
        <v>276.32813407487998</v>
      </c>
      <c r="O42" s="362">
        <f>O39*0.302</f>
        <v>133.87990991999999</v>
      </c>
      <c r="P42" s="362"/>
      <c r="Q42" s="362">
        <f>Q39*0.302</f>
        <v>142.44822415487999</v>
      </c>
      <c r="R42" s="362"/>
      <c r="S42" s="362">
        <v>313</v>
      </c>
      <c r="T42" s="362"/>
      <c r="U42" s="345"/>
      <c r="V42" s="345"/>
      <c r="W42" s="345"/>
      <c r="X42" s="345"/>
      <c r="Y42" s="345">
        <f>Z42+AB42</f>
        <v>289.11291574474444</v>
      </c>
      <c r="Z42" s="345">
        <f>Q42</f>
        <v>142.44822415487999</v>
      </c>
      <c r="AA42" s="364"/>
      <c r="AB42" s="345">
        <f>Z42*$AA$24</f>
        <v>146.66469158986445</v>
      </c>
      <c r="AC42" s="345"/>
      <c r="AD42" s="345"/>
      <c r="AE42" s="345"/>
      <c r="AF42" s="345"/>
      <c r="AG42" s="363"/>
      <c r="AH42" s="363"/>
      <c r="AI42" s="345">
        <f>AJ42+AL42</f>
        <v>297.67065805078892</v>
      </c>
      <c r="AJ42" s="345">
        <f>AB42</f>
        <v>146.66469158986445</v>
      </c>
      <c r="AK42" s="364"/>
      <c r="AL42" s="363">
        <f>AJ42*$AK$24</f>
        <v>151.00596646092444</v>
      </c>
      <c r="AM42" s="484"/>
      <c r="AN42" s="303"/>
    </row>
    <row r="43" spans="1:40" ht="15.75">
      <c r="A43" s="16" t="s">
        <v>53</v>
      </c>
      <c r="B43" s="321" t="s">
        <v>129</v>
      </c>
      <c r="C43" s="45" t="s">
        <v>4</v>
      </c>
      <c r="D43" s="15"/>
      <c r="E43" s="15"/>
      <c r="F43" s="303"/>
      <c r="G43" s="168"/>
      <c r="H43" s="15">
        <v>715</v>
      </c>
      <c r="I43" s="15">
        <v>357.5</v>
      </c>
      <c r="J43" s="15">
        <v>357.5</v>
      </c>
      <c r="K43" s="15"/>
      <c r="L43" s="15"/>
      <c r="M43" s="15">
        <f>H43</f>
        <v>715</v>
      </c>
      <c r="N43" s="362">
        <f>O43+Q43</f>
        <v>555</v>
      </c>
      <c r="O43" s="362">
        <f>O44+O45</f>
        <v>277.5</v>
      </c>
      <c r="P43" s="364">
        <v>1.0569999999999999</v>
      </c>
      <c r="Q43" s="362">
        <f>Q44+Q45</f>
        <v>277.5</v>
      </c>
      <c r="R43" s="362"/>
      <c r="S43" s="362">
        <v>815</v>
      </c>
      <c r="T43" s="362"/>
      <c r="U43" s="345"/>
      <c r="V43" s="345"/>
      <c r="W43" s="364">
        <v>1.052</v>
      </c>
      <c r="X43" s="345"/>
      <c r="Y43" s="345">
        <f>Z43+AB43</f>
        <v>563.21399999999994</v>
      </c>
      <c r="Z43" s="345">
        <f>Q43</f>
        <v>277.5</v>
      </c>
      <c r="AA43" s="364"/>
      <c r="AB43" s="345">
        <f>Z43*$AA$24</f>
        <v>285.714</v>
      </c>
      <c r="AC43" s="345"/>
      <c r="AD43" s="345"/>
      <c r="AE43" s="345"/>
      <c r="AF43" s="364">
        <v>1.0449999999999999</v>
      </c>
      <c r="AG43" s="363"/>
      <c r="AH43" s="363"/>
      <c r="AI43" s="345">
        <f>AJ43+AL43</f>
        <v>579.88513439999997</v>
      </c>
      <c r="AJ43" s="345">
        <f>AB43</f>
        <v>285.714</v>
      </c>
      <c r="AK43" s="364"/>
      <c r="AL43" s="363">
        <f>AJ43*$AK$24</f>
        <v>294.17113440000003</v>
      </c>
      <c r="AM43" s="484"/>
      <c r="AN43" s="303"/>
    </row>
    <row r="44" spans="1:40" ht="31.5">
      <c r="A44" s="16"/>
      <c r="B44" s="327" t="s">
        <v>288</v>
      </c>
      <c r="C44" s="45" t="s">
        <v>4</v>
      </c>
      <c r="D44" s="15"/>
      <c r="E44" s="15"/>
      <c r="F44" s="303"/>
      <c r="G44" s="67"/>
      <c r="H44" s="36">
        <v>660</v>
      </c>
      <c r="I44" s="36">
        <f>H44/2</f>
        <v>330</v>
      </c>
      <c r="J44" s="36">
        <f>H44-I44</f>
        <v>330</v>
      </c>
      <c r="K44" s="36"/>
      <c r="L44" s="36"/>
      <c r="M44" s="36">
        <f>660</f>
        <v>660</v>
      </c>
      <c r="N44" s="351">
        <f>O44+Q44</f>
        <v>500</v>
      </c>
      <c r="O44" s="351">
        <f>J44-80</f>
        <v>250</v>
      </c>
      <c r="P44" s="368"/>
      <c r="Q44" s="351">
        <f>O44</f>
        <v>250</v>
      </c>
      <c r="R44" s="351"/>
      <c r="S44" s="351"/>
      <c r="T44" s="351"/>
      <c r="U44" s="345"/>
      <c r="V44" s="345"/>
      <c r="W44" s="364"/>
      <c r="X44" s="345"/>
      <c r="Y44" s="345"/>
      <c r="Z44" s="366">
        <f>Q44</f>
        <v>250</v>
      </c>
      <c r="AA44" s="364"/>
      <c r="AB44" s="366">
        <f t="shared" ref="AB44:AB45" si="12">Z44*$AA$24</f>
        <v>257.40000000000003</v>
      </c>
      <c r="AC44" s="345"/>
      <c r="AD44" s="345"/>
      <c r="AE44" s="345"/>
      <c r="AF44" s="364"/>
      <c r="AG44" s="363"/>
      <c r="AH44" s="363"/>
      <c r="AI44" s="366">
        <f>AJ44+AL44</f>
        <v>522.41904000000011</v>
      </c>
      <c r="AJ44" s="366">
        <f>AB44</f>
        <v>257.40000000000003</v>
      </c>
      <c r="AK44" s="381"/>
      <c r="AL44" s="367">
        <f>AJ44*$AK$24</f>
        <v>265.01904000000007</v>
      </c>
      <c r="AM44" s="484"/>
      <c r="AN44" s="303"/>
    </row>
    <row r="45" spans="1:40" ht="31.5">
      <c r="A45" s="16"/>
      <c r="B45" s="327" t="s">
        <v>289</v>
      </c>
      <c r="C45" s="45" t="s">
        <v>4</v>
      </c>
      <c r="D45" s="15"/>
      <c r="E45" s="9"/>
      <c r="F45" s="38"/>
      <c r="G45" s="36"/>
      <c r="H45" s="36">
        <v>55</v>
      </c>
      <c r="I45" s="36">
        <f>H45/2</f>
        <v>27.5</v>
      </c>
      <c r="J45" s="36">
        <f>H45-I45</f>
        <v>27.5</v>
      </c>
      <c r="K45" s="15"/>
      <c r="L45" s="15"/>
      <c r="M45" s="36">
        <v>55</v>
      </c>
      <c r="N45" s="351">
        <f>O45+Q45</f>
        <v>55</v>
      </c>
      <c r="O45" s="351">
        <f>J45</f>
        <v>27.5</v>
      </c>
      <c r="P45" s="364"/>
      <c r="Q45" s="351">
        <f>O45</f>
        <v>27.5</v>
      </c>
      <c r="R45" s="351"/>
      <c r="S45" s="351"/>
      <c r="T45" s="351"/>
      <c r="U45" s="345"/>
      <c r="V45" s="345"/>
      <c r="W45" s="364"/>
      <c r="X45" s="345"/>
      <c r="Y45" s="345"/>
      <c r="Z45" s="366">
        <f>Q45</f>
        <v>27.5</v>
      </c>
      <c r="AA45" s="364"/>
      <c r="AB45" s="366">
        <f t="shared" si="12"/>
        <v>28.314000000000004</v>
      </c>
      <c r="AC45" s="345"/>
      <c r="AD45" s="345"/>
      <c r="AE45" s="345"/>
      <c r="AF45" s="364"/>
      <c r="AG45" s="363"/>
      <c r="AH45" s="363"/>
      <c r="AI45" s="366">
        <f>AJ45+AL45</f>
        <v>57.46609440000001</v>
      </c>
      <c r="AJ45" s="366">
        <f>AB45</f>
        <v>28.314000000000004</v>
      </c>
      <c r="AK45" s="381"/>
      <c r="AL45" s="367">
        <f>AJ45*$AK$24</f>
        <v>29.152094400000006</v>
      </c>
      <c r="AM45" s="484"/>
      <c r="AN45" s="303"/>
    </row>
    <row r="46" spans="1:40" ht="31.5" hidden="1">
      <c r="A46" s="164"/>
      <c r="B46" s="327" t="s">
        <v>191</v>
      </c>
      <c r="C46" s="45" t="s">
        <v>4</v>
      </c>
      <c r="D46" s="15"/>
      <c r="E46" s="9"/>
      <c r="F46" s="38"/>
      <c r="G46" s="36"/>
      <c r="H46" s="9"/>
      <c r="I46" s="15"/>
      <c r="J46" s="15"/>
      <c r="K46" s="15"/>
      <c r="L46" s="15"/>
      <c r="M46" s="36"/>
      <c r="N46" s="351"/>
      <c r="O46" s="351"/>
      <c r="P46" s="364">
        <v>1.0620000000000001</v>
      </c>
      <c r="Q46" s="351"/>
      <c r="R46" s="351"/>
      <c r="S46" s="351"/>
      <c r="T46" s="351"/>
      <c r="U46" s="345"/>
      <c r="V46" s="345"/>
      <c r="W46" s="364"/>
      <c r="X46" s="345"/>
      <c r="Y46" s="345"/>
      <c r="Z46" s="345"/>
      <c r="AA46" s="364"/>
      <c r="AB46" s="345"/>
      <c r="AC46" s="345"/>
      <c r="AD46" s="345"/>
      <c r="AE46" s="345"/>
      <c r="AF46" s="364"/>
      <c r="AG46" s="363"/>
      <c r="AH46" s="363"/>
      <c r="AI46" s="345"/>
      <c r="AJ46" s="345"/>
      <c r="AK46" s="364"/>
      <c r="AL46" s="363"/>
      <c r="AM46" s="484"/>
      <c r="AN46" s="303"/>
    </row>
    <row r="47" spans="1:40" ht="15.75" hidden="1">
      <c r="A47" s="16" t="s">
        <v>70</v>
      </c>
      <c r="B47" s="321" t="s">
        <v>49</v>
      </c>
      <c r="C47" s="45" t="s">
        <v>4</v>
      </c>
      <c r="D47" s="45"/>
      <c r="E47" s="45"/>
      <c r="F47" s="38"/>
      <c r="G47" s="8"/>
      <c r="H47" s="8"/>
      <c r="I47" s="8"/>
      <c r="J47" s="8"/>
      <c r="K47" s="8"/>
      <c r="L47" s="8"/>
      <c r="M47" s="8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63"/>
      <c r="AH47" s="363"/>
      <c r="AI47" s="345"/>
      <c r="AJ47" s="345"/>
      <c r="AK47" s="345"/>
      <c r="AL47" s="363"/>
      <c r="AM47" s="484"/>
      <c r="AN47" s="303"/>
    </row>
    <row r="48" spans="1:40" ht="27.75" hidden="1" customHeight="1">
      <c r="A48" s="16" t="s">
        <v>82</v>
      </c>
      <c r="B48" s="328" t="s">
        <v>71</v>
      </c>
      <c r="C48" s="45" t="s">
        <v>4</v>
      </c>
      <c r="D48" s="45"/>
      <c r="E48" s="45"/>
      <c r="F48" s="38"/>
      <c r="G48" s="8"/>
      <c r="H48" s="8"/>
      <c r="I48" s="8"/>
      <c r="J48" s="8"/>
      <c r="K48" s="15"/>
      <c r="L48" s="15"/>
      <c r="M48" s="8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63"/>
      <c r="AH48" s="363"/>
      <c r="AI48" s="345"/>
      <c r="AJ48" s="345"/>
      <c r="AK48" s="345"/>
      <c r="AL48" s="363"/>
      <c r="AM48" s="484"/>
      <c r="AN48" s="303"/>
    </row>
    <row r="49" spans="1:40" ht="15.75">
      <c r="A49" s="43" t="s">
        <v>28</v>
      </c>
      <c r="B49" s="324" t="s">
        <v>29</v>
      </c>
      <c r="C49" s="45"/>
      <c r="D49" s="45"/>
      <c r="E49" s="45"/>
      <c r="F49" s="38"/>
      <c r="G49" s="15"/>
      <c r="H49" s="15"/>
      <c r="I49" s="15"/>
      <c r="J49" s="15"/>
      <c r="K49" s="15"/>
      <c r="L49" s="15"/>
      <c r="M49" s="15"/>
      <c r="N49" s="362"/>
      <c r="O49" s="362"/>
      <c r="P49" s="362"/>
      <c r="Q49" s="362"/>
      <c r="R49" s="362"/>
      <c r="S49" s="362">
        <v>765</v>
      </c>
      <c r="T49" s="362"/>
      <c r="U49" s="345"/>
      <c r="V49" s="345"/>
      <c r="W49" s="345"/>
      <c r="X49" s="345"/>
      <c r="Y49" s="362">
        <f>Z49+AB49</f>
        <v>1257.4770478074122</v>
      </c>
      <c r="Z49" s="362">
        <f>Z50+Z53+Z54</f>
        <v>619.56890412269024</v>
      </c>
      <c r="AA49" s="345"/>
      <c r="AB49" s="362">
        <f>AB50+AB53+AB54</f>
        <v>637.90814368472195</v>
      </c>
      <c r="AC49" s="345"/>
      <c r="AD49" s="345"/>
      <c r="AE49" s="345"/>
      <c r="AF49" s="345"/>
      <c r="AG49" s="363"/>
      <c r="AH49" s="363"/>
      <c r="AI49" s="380">
        <f>AI50+AI53+AI54</f>
        <v>1294.6983684225115</v>
      </c>
      <c r="AJ49" s="380">
        <f>AJ50+AJ53+AJ54</f>
        <v>637.90814368472195</v>
      </c>
      <c r="AK49" s="382"/>
      <c r="AL49" s="380">
        <f>AL50+AL53+AL54</f>
        <v>656.79022473778969</v>
      </c>
      <c r="AM49" s="484"/>
      <c r="AN49" s="303"/>
    </row>
    <row r="50" spans="1:40" ht="15.75">
      <c r="A50" s="16" t="s">
        <v>55</v>
      </c>
      <c r="B50" s="321" t="s">
        <v>172</v>
      </c>
      <c r="C50" s="45" t="s">
        <v>4</v>
      </c>
      <c r="D50" s="45"/>
      <c r="E50" s="45"/>
      <c r="F50" s="168"/>
      <c r="G50" s="15"/>
      <c r="H50" s="15"/>
      <c r="I50" s="15"/>
      <c r="J50" s="15"/>
      <c r="K50" s="15"/>
      <c r="L50" s="15"/>
      <c r="M50" s="15"/>
      <c r="N50" s="362">
        <f>O50+Q50</f>
        <v>118.54969950021419</v>
      </c>
      <c r="O50" s="362">
        <f>ФОТ!C86/2</f>
        <v>57.436869912894466</v>
      </c>
      <c r="P50" s="364">
        <f>P56</f>
        <v>1.0640000000000001</v>
      </c>
      <c r="Q50" s="362">
        <f>Q51*Q52*6/1000</f>
        <v>61.112829587319716</v>
      </c>
      <c r="R50" s="362"/>
      <c r="S50" s="362">
        <v>84</v>
      </c>
      <c r="T50" s="362"/>
      <c r="U50" s="345"/>
      <c r="V50" s="345"/>
      <c r="W50" s="364">
        <v>1.06</v>
      </c>
      <c r="X50" s="345"/>
      <c r="Y50" s="345">
        <f>Z50+AB50</f>
        <v>124.0345989304241</v>
      </c>
      <c r="Z50" s="345">
        <f>Q50</f>
        <v>61.112829587319716</v>
      </c>
      <c r="AA50" s="364"/>
      <c r="AB50" s="345">
        <f>Z50*$AA$24</f>
        <v>62.921769343104387</v>
      </c>
      <c r="AC50" s="345"/>
      <c r="AD50" s="345"/>
      <c r="AE50" s="345"/>
      <c r="AF50" s="364">
        <v>1.05</v>
      </c>
      <c r="AG50" s="363"/>
      <c r="AH50" s="363"/>
      <c r="AI50" s="345">
        <f>AJ50+AL50</f>
        <v>127.70602305876467</v>
      </c>
      <c r="AJ50" s="345">
        <f>AB50</f>
        <v>62.921769343104387</v>
      </c>
      <c r="AK50" s="364"/>
      <c r="AL50" s="363">
        <f>AJ50*$AK$24</f>
        <v>64.784253715660284</v>
      </c>
      <c r="AM50" s="484"/>
      <c r="AN50" s="303"/>
    </row>
    <row r="51" spans="1:40" ht="15.75">
      <c r="A51" s="16"/>
      <c r="B51" s="325" t="s">
        <v>13</v>
      </c>
      <c r="C51" s="45" t="s">
        <v>50</v>
      </c>
      <c r="D51" s="45"/>
      <c r="E51" s="45"/>
      <c r="F51" s="182"/>
      <c r="G51" s="36"/>
      <c r="H51" s="36"/>
      <c r="I51" s="36"/>
      <c r="J51" s="36"/>
      <c r="K51" s="36"/>
      <c r="L51" s="36"/>
      <c r="M51" s="37"/>
      <c r="N51" s="365">
        <f>ФОТ!F86</f>
        <v>0.46023132943024414</v>
      </c>
      <c r="O51" s="365">
        <f>ФОТ!F86</f>
        <v>0.46023132943024414</v>
      </c>
      <c r="P51" s="369"/>
      <c r="Q51" s="365">
        <f>ФОТ!F86</f>
        <v>0.46023132943024414</v>
      </c>
      <c r="R51" s="365"/>
      <c r="S51" s="365">
        <v>0.5</v>
      </c>
      <c r="T51" s="36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63"/>
      <c r="AH51" s="363"/>
      <c r="AI51" s="345">
        <v>0.5</v>
      </c>
      <c r="AJ51" s="345">
        <v>0.5</v>
      </c>
      <c r="AK51" s="345"/>
      <c r="AL51" s="363">
        <v>0.5</v>
      </c>
      <c r="AM51" s="484"/>
      <c r="AN51" s="303"/>
    </row>
    <row r="52" spans="1:40" ht="15.75">
      <c r="A52" s="16"/>
      <c r="B52" s="325" t="s">
        <v>14</v>
      </c>
      <c r="C52" s="45" t="s">
        <v>51</v>
      </c>
      <c r="D52" s="45"/>
      <c r="E52" s="45"/>
      <c r="F52" s="182"/>
      <c r="G52" s="36"/>
      <c r="H52" s="36"/>
      <c r="I52" s="36"/>
      <c r="J52" s="36"/>
      <c r="K52" s="36"/>
      <c r="L52" s="36"/>
      <c r="M52" s="37"/>
      <c r="N52" s="365">
        <f>N50/N51/12*1000</f>
        <v>21465.599999999999</v>
      </c>
      <c r="O52" s="351">
        <f>O50/O51/6*1000</f>
        <v>20800</v>
      </c>
      <c r="P52" s="368"/>
      <c r="Q52" s="351">
        <f>O52*P50</f>
        <v>22131.200000000001</v>
      </c>
      <c r="R52" s="351"/>
      <c r="S52" s="351">
        <v>14000</v>
      </c>
      <c r="T52" s="351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63"/>
      <c r="AH52" s="363"/>
      <c r="AI52" s="376">
        <f>AI50/AI51/12*1000</f>
        <v>21284.337176460776</v>
      </c>
      <c r="AJ52" s="376">
        <f>AJ50/AJ51/6*1000</f>
        <v>20973.923114368132</v>
      </c>
      <c r="AK52" s="345"/>
      <c r="AL52" s="376">
        <f>AL50/AL51/6*1000</f>
        <v>21594.751238553428</v>
      </c>
      <c r="AM52" s="484"/>
      <c r="AN52" s="303"/>
    </row>
    <row r="53" spans="1:40" ht="15.75">
      <c r="A53" s="16" t="s">
        <v>56</v>
      </c>
      <c r="B53" s="321" t="s">
        <v>151</v>
      </c>
      <c r="C53" s="14" t="s">
        <v>31</v>
      </c>
      <c r="D53" s="14"/>
      <c r="E53" s="14"/>
      <c r="F53" s="168"/>
      <c r="G53" s="15"/>
      <c r="H53" s="15"/>
      <c r="I53" s="15"/>
      <c r="J53" s="15"/>
      <c r="K53" s="15"/>
      <c r="L53" s="15"/>
      <c r="M53" s="15"/>
      <c r="N53" s="362">
        <f>O53+Q53</f>
        <v>35.802009249064682</v>
      </c>
      <c r="O53" s="362">
        <f>O50*0.302</f>
        <v>17.345934713694128</v>
      </c>
      <c r="P53" s="364"/>
      <c r="Q53" s="362">
        <f>Q50*0.302</f>
        <v>18.456074535370554</v>
      </c>
      <c r="R53" s="362"/>
      <c r="S53" s="362">
        <v>25</v>
      </c>
      <c r="T53" s="362"/>
      <c r="U53" s="345"/>
      <c r="V53" s="345"/>
      <c r="W53" s="345"/>
      <c r="X53" s="345"/>
      <c r="Y53" s="345">
        <f>Z53+AB53</f>
        <v>37.458448876988079</v>
      </c>
      <c r="Z53" s="345">
        <f>Q53</f>
        <v>18.456074535370554</v>
      </c>
      <c r="AA53" s="364"/>
      <c r="AB53" s="345">
        <f>Z53*$AA$24</f>
        <v>19.002374341617525</v>
      </c>
      <c r="AC53" s="345"/>
      <c r="AD53" s="345"/>
      <c r="AE53" s="345"/>
      <c r="AF53" s="345"/>
      <c r="AG53" s="363"/>
      <c r="AH53" s="363"/>
      <c r="AI53" s="345">
        <f>AJ53+AL53</f>
        <v>38.567218963746932</v>
      </c>
      <c r="AJ53" s="345">
        <f>AB53</f>
        <v>19.002374341617525</v>
      </c>
      <c r="AK53" s="364"/>
      <c r="AL53" s="363">
        <f>AJ53*$AK$24</f>
        <v>19.564844622129407</v>
      </c>
      <c r="AM53" s="484"/>
      <c r="AN53" s="303"/>
    </row>
    <row r="54" spans="1:40" ht="15.75">
      <c r="A54" s="16" t="s">
        <v>62</v>
      </c>
      <c r="B54" s="321" t="s">
        <v>130</v>
      </c>
      <c r="C54" s="45" t="s">
        <v>4</v>
      </c>
      <c r="D54" s="296"/>
      <c r="E54" s="15"/>
      <c r="F54" s="168"/>
      <c r="G54" s="15"/>
      <c r="H54" s="15">
        <v>1490.1</v>
      </c>
      <c r="I54" s="15">
        <v>698.54399999999998</v>
      </c>
      <c r="J54" s="15">
        <v>791.56399999999996</v>
      </c>
      <c r="K54" s="15"/>
      <c r="L54" s="15"/>
      <c r="M54" s="15">
        <f>H54</f>
        <v>1490.1</v>
      </c>
      <c r="N54" s="362">
        <f>1080</f>
        <v>1080</v>
      </c>
      <c r="O54" s="362">
        <f>N54/2</f>
        <v>540</v>
      </c>
      <c r="P54" s="364">
        <f>P64</f>
        <v>1.0569999999999999</v>
      </c>
      <c r="Q54" s="362">
        <f>O54</f>
        <v>540</v>
      </c>
      <c r="R54" s="362"/>
      <c r="S54" s="362">
        <v>656</v>
      </c>
      <c r="T54" s="362"/>
      <c r="U54" s="345"/>
      <c r="V54" s="345"/>
      <c r="W54" s="345"/>
      <c r="X54" s="345"/>
      <c r="Y54" s="345">
        <f>Z54+AB54</f>
        <v>1095.9839999999999</v>
      </c>
      <c r="Z54" s="345">
        <f>Q54</f>
        <v>540</v>
      </c>
      <c r="AA54" s="364"/>
      <c r="AB54" s="345">
        <f>Z54*$AA$24</f>
        <v>555.98400000000004</v>
      </c>
      <c r="AC54" s="345"/>
      <c r="AD54" s="345"/>
      <c r="AE54" s="345"/>
      <c r="AF54" s="345"/>
      <c r="AG54" s="363"/>
      <c r="AH54" s="363"/>
      <c r="AI54" s="345">
        <f>AJ54+AL54</f>
        <v>1128.4251264</v>
      </c>
      <c r="AJ54" s="345">
        <f>AB54</f>
        <v>555.98400000000004</v>
      </c>
      <c r="AK54" s="364"/>
      <c r="AL54" s="363">
        <f>AJ54*$AK$24</f>
        <v>572.44112640000003</v>
      </c>
      <c r="AM54" s="484"/>
      <c r="AN54" s="303"/>
    </row>
    <row r="55" spans="1:40" ht="15.75">
      <c r="A55" s="43" t="s">
        <v>32</v>
      </c>
      <c r="B55" s="324" t="s">
        <v>33</v>
      </c>
      <c r="C55" s="45"/>
      <c r="D55" s="45"/>
      <c r="E55" s="45"/>
      <c r="F55" s="38"/>
      <c r="G55" s="15"/>
      <c r="H55" s="15"/>
      <c r="I55" s="15"/>
      <c r="J55" s="15"/>
      <c r="K55" s="15"/>
      <c r="L55" s="15"/>
      <c r="M55" s="15"/>
      <c r="N55" s="362"/>
      <c r="O55" s="362"/>
      <c r="P55" s="364"/>
      <c r="Q55" s="362"/>
      <c r="R55" s="362"/>
      <c r="S55" s="362">
        <v>2004</v>
      </c>
      <c r="T55" s="362"/>
      <c r="U55" s="345"/>
      <c r="V55" s="345"/>
      <c r="W55" s="345"/>
      <c r="X55" s="345"/>
      <c r="Y55" s="362">
        <f>Z55+AB55</f>
        <v>1809.5646993628202</v>
      </c>
      <c r="Z55" s="362">
        <f>Z56+Z59+Z64</f>
        <v>891.58686409283609</v>
      </c>
      <c r="AA55" s="345"/>
      <c r="AB55" s="362">
        <f>AB56+AB59+AB64</f>
        <v>917.9778352699841</v>
      </c>
      <c r="AC55" s="345"/>
      <c r="AD55" s="345"/>
      <c r="AE55" s="345"/>
      <c r="AF55" s="345"/>
      <c r="AG55" s="363"/>
      <c r="AH55" s="363"/>
      <c r="AI55" s="380">
        <f t="shared" ref="AI55:AL55" si="13">AI56+AI59+AI64</f>
        <v>1863.1278144639596</v>
      </c>
      <c r="AJ55" s="380">
        <f t="shared" si="13"/>
        <v>917.9778352699841</v>
      </c>
      <c r="AK55" s="380">
        <f t="shared" si="13"/>
        <v>0</v>
      </c>
      <c r="AL55" s="380">
        <f t="shared" si="13"/>
        <v>945.14997919397558</v>
      </c>
      <c r="AM55" s="484"/>
      <c r="AN55" s="303"/>
    </row>
    <row r="56" spans="1:40" ht="15.75">
      <c r="A56" s="16" t="s">
        <v>60</v>
      </c>
      <c r="B56" s="321" t="s">
        <v>131</v>
      </c>
      <c r="C56" s="45" t="s">
        <v>4</v>
      </c>
      <c r="D56" s="45"/>
      <c r="E56" s="45"/>
      <c r="F56" s="168"/>
      <c r="G56" s="15"/>
      <c r="H56" s="15">
        <v>372.65</v>
      </c>
      <c r="I56" s="15">
        <v>181.34</v>
      </c>
      <c r="J56" s="15">
        <v>191.31</v>
      </c>
      <c r="K56" s="15"/>
      <c r="L56" s="15"/>
      <c r="M56" s="15">
        <f>M57*M58*12/1000</f>
        <v>566.14800000000014</v>
      </c>
      <c r="N56" s="362">
        <f>O56+Q56</f>
        <v>517.86962184234608</v>
      </c>
      <c r="O56" s="362">
        <f>ФОТ!C78/2</f>
        <v>250.90582453602033</v>
      </c>
      <c r="P56" s="364">
        <f>P39</f>
        <v>1.0640000000000001</v>
      </c>
      <c r="Q56" s="362">
        <f>Q57*Q58*6/1000</f>
        <v>266.96379730632572</v>
      </c>
      <c r="R56" s="362"/>
      <c r="S56" s="362">
        <v>763</v>
      </c>
      <c r="T56" s="362"/>
      <c r="U56" s="345"/>
      <c r="V56" s="345"/>
      <c r="W56" s="364">
        <v>1.06</v>
      </c>
      <c r="X56" s="345"/>
      <c r="Y56" s="345">
        <f>Z56+AB56</f>
        <v>541.82972301291875</v>
      </c>
      <c r="Z56" s="345">
        <f>Q56</f>
        <v>266.96379730632572</v>
      </c>
      <c r="AA56" s="364"/>
      <c r="AB56" s="345">
        <f>Z56*$AA$24</f>
        <v>274.86592570659298</v>
      </c>
      <c r="AC56" s="345"/>
      <c r="AD56" s="345"/>
      <c r="AE56" s="345"/>
      <c r="AF56" s="364">
        <v>1.05</v>
      </c>
      <c r="AG56" s="363"/>
      <c r="AH56" s="363"/>
      <c r="AI56" s="345">
        <f>AJ56+AL56</f>
        <v>557.86788281410111</v>
      </c>
      <c r="AJ56" s="345">
        <f>AB56</f>
        <v>274.86592570659298</v>
      </c>
      <c r="AK56" s="364"/>
      <c r="AL56" s="363">
        <f>AJ56*$AK$24</f>
        <v>283.00195710750813</v>
      </c>
      <c r="AM56" s="484"/>
      <c r="AN56" s="303"/>
    </row>
    <row r="57" spans="1:40" ht="15.75">
      <c r="A57" s="16"/>
      <c r="B57" s="325" t="s">
        <v>13</v>
      </c>
      <c r="C57" s="45" t="s">
        <v>50</v>
      </c>
      <c r="D57" s="45"/>
      <c r="E57" s="45"/>
      <c r="F57" s="182"/>
      <c r="G57" s="36"/>
      <c r="H57" s="36">
        <v>0.91</v>
      </c>
      <c r="I57" s="36">
        <v>0.91</v>
      </c>
      <c r="J57" s="36">
        <v>0.91</v>
      </c>
      <c r="K57" s="36"/>
      <c r="L57" s="36"/>
      <c r="M57" s="36">
        <v>1</v>
      </c>
      <c r="N57" s="351">
        <f>ФОТ!F78</f>
        <v>1.3312122745428692</v>
      </c>
      <c r="O57" s="351">
        <f>ФОТ!F78</f>
        <v>1.3312122745428692</v>
      </c>
      <c r="P57" s="351"/>
      <c r="Q57" s="351">
        <f>O57</f>
        <v>1.3312122745428692</v>
      </c>
      <c r="R57" s="351"/>
      <c r="S57" s="351">
        <v>2.44</v>
      </c>
      <c r="T57" s="351"/>
      <c r="U57" s="345"/>
      <c r="V57" s="345"/>
      <c r="W57" s="345"/>
      <c r="X57" s="345"/>
      <c r="Y57" s="345"/>
      <c r="Z57" s="345"/>
      <c r="AA57" s="345"/>
      <c r="AB57" s="345">
        <v>2.44</v>
      </c>
      <c r="AC57" s="345"/>
      <c r="AD57" s="345"/>
      <c r="AE57" s="345"/>
      <c r="AF57" s="345"/>
      <c r="AG57" s="363"/>
      <c r="AH57" s="363"/>
      <c r="AI57" s="345">
        <v>2.44</v>
      </c>
      <c r="AJ57" s="345">
        <v>2.44</v>
      </c>
      <c r="AK57" s="345"/>
      <c r="AL57" s="363">
        <v>2.44</v>
      </c>
      <c r="AM57" s="484"/>
      <c r="AN57" s="303"/>
    </row>
    <row r="58" spans="1:40" ht="15.75">
      <c r="A58" s="16"/>
      <c r="B58" s="325" t="s">
        <v>14</v>
      </c>
      <c r="C58" s="45" t="s">
        <v>51</v>
      </c>
      <c r="D58" s="45"/>
      <c r="E58" s="45"/>
      <c r="F58" s="182"/>
      <c r="G58" s="36"/>
      <c r="H58" s="36">
        <v>34255.21</v>
      </c>
      <c r="I58" s="36">
        <v>33338.400000000001</v>
      </c>
      <c r="J58" s="36">
        <v>35172.01</v>
      </c>
      <c r="K58" s="36"/>
      <c r="L58" s="36"/>
      <c r="M58" s="36">
        <f>42890*1.1</f>
        <v>47179.000000000007</v>
      </c>
      <c r="N58" s="351">
        <f>N56/N57/12*1000</f>
        <v>32418.422400000003</v>
      </c>
      <c r="O58" s="351">
        <f>O56/O57/6*1000</f>
        <v>31413.200000000001</v>
      </c>
      <c r="P58" s="351"/>
      <c r="Q58" s="351">
        <f>O58*P56</f>
        <v>33423.644800000002</v>
      </c>
      <c r="R58" s="351"/>
      <c r="S58" s="351">
        <v>26058.74</v>
      </c>
      <c r="T58" s="351"/>
      <c r="U58" s="345"/>
      <c r="V58" s="345"/>
      <c r="W58" s="345"/>
      <c r="X58" s="345"/>
      <c r="Y58" s="345"/>
      <c r="Z58" s="345"/>
      <c r="AA58" s="345"/>
      <c r="AB58" s="376">
        <f>AB56/AB57/6*1000</f>
        <v>18774.994925313727</v>
      </c>
      <c r="AC58" s="345"/>
      <c r="AD58" s="345"/>
      <c r="AE58" s="345"/>
      <c r="AF58" s="345"/>
      <c r="AG58" s="363"/>
      <c r="AH58" s="363"/>
      <c r="AI58" s="376">
        <f>AI56/AI57/12*1000</f>
        <v>19052.864850208374</v>
      </c>
      <c r="AJ58" s="376">
        <f>AJ56/AJ57/6*1000</f>
        <v>18774.994925313727</v>
      </c>
      <c r="AK58" s="345"/>
      <c r="AL58" s="376">
        <f>AL56/AL57/6*1000</f>
        <v>19330.734775103014</v>
      </c>
      <c r="AM58" s="484"/>
      <c r="AN58" s="303"/>
    </row>
    <row r="59" spans="1:40" ht="15.75">
      <c r="A59" s="16" t="s">
        <v>61</v>
      </c>
      <c r="B59" s="321" t="s">
        <v>132</v>
      </c>
      <c r="C59" s="14" t="s">
        <v>31</v>
      </c>
      <c r="D59" s="14"/>
      <c r="E59" s="14"/>
      <c r="F59" s="168"/>
      <c r="G59" s="15"/>
      <c r="H59" s="15">
        <v>112.54</v>
      </c>
      <c r="I59" s="15">
        <v>54.76</v>
      </c>
      <c r="J59" s="15">
        <v>57.78</v>
      </c>
      <c r="K59" s="15"/>
      <c r="L59" s="15"/>
      <c r="M59" s="15">
        <f>M56*0.302</f>
        <v>170.97669600000003</v>
      </c>
      <c r="N59" s="362">
        <f>O59+Q59</f>
        <v>156.39662579638849</v>
      </c>
      <c r="O59" s="362">
        <f>O56*0.302</f>
        <v>75.773559009878142</v>
      </c>
      <c r="P59" s="362"/>
      <c r="Q59" s="362">
        <f>Q56*0.302</f>
        <v>80.623066786510364</v>
      </c>
      <c r="R59" s="362"/>
      <c r="S59" s="362">
        <v>216</v>
      </c>
      <c r="T59" s="362"/>
      <c r="U59" s="345"/>
      <c r="V59" s="345"/>
      <c r="W59" s="345"/>
      <c r="X59" s="345"/>
      <c r="Y59" s="345">
        <f>Z59+AB59</f>
        <v>163.63257634990146</v>
      </c>
      <c r="Z59" s="345">
        <f>Q59</f>
        <v>80.623066786510364</v>
      </c>
      <c r="AA59" s="364"/>
      <c r="AB59" s="345">
        <f>Z59*$AA$24</f>
        <v>83.009509563391077</v>
      </c>
      <c r="AC59" s="345"/>
      <c r="AD59" s="345"/>
      <c r="AE59" s="345"/>
      <c r="AF59" s="345"/>
      <c r="AG59" s="363"/>
      <c r="AH59" s="363"/>
      <c r="AI59" s="345">
        <f>AJ59+AL59</f>
        <v>168.47610060985852</v>
      </c>
      <c r="AJ59" s="345">
        <f>AB59</f>
        <v>83.009509563391077</v>
      </c>
      <c r="AK59" s="364"/>
      <c r="AL59" s="363">
        <f>AJ59*$AK$24</f>
        <v>85.466591046467457</v>
      </c>
      <c r="AM59" s="484"/>
      <c r="AN59" s="303"/>
    </row>
    <row r="60" spans="1:40" ht="31.5" hidden="1">
      <c r="A60" s="16" t="s">
        <v>79</v>
      </c>
      <c r="B60" s="323" t="s">
        <v>150</v>
      </c>
      <c r="C60" s="45" t="s">
        <v>4</v>
      </c>
      <c r="D60" s="45"/>
      <c r="E60" s="45"/>
      <c r="F60" s="38"/>
      <c r="G60" s="15"/>
      <c r="H60" s="15"/>
      <c r="I60" s="15"/>
      <c r="J60" s="15"/>
      <c r="K60" s="15"/>
      <c r="L60" s="15"/>
      <c r="M60" s="15"/>
      <c r="N60" s="362"/>
      <c r="O60" s="362"/>
      <c r="P60" s="364">
        <f>P56</f>
        <v>1.0640000000000001</v>
      </c>
      <c r="Q60" s="362">
        <f>Q61*Q62*6/1000</f>
        <v>0</v>
      </c>
      <c r="R60" s="362"/>
      <c r="S60" s="362"/>
      <c r="T60" s="362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63"/>
      <c r="AH60" s="363"/>
      <c r="AI60" s="345"/>
      <c r="AJ60" s="345"/>
      <c r="AK60" s="345"/>
      <c r="AL60" s="363"/>
      <c r="AM60" s="484"/>
      <c r="AN60" s="303"/>
    </row>
    <row r="61" spans="1:40" ht="15.75" hidden="1">
      <c r="A61" s="16"/>
      <c r="B61" s="325" t="s">
        <v>13</v>
      </c>
      <c r="C61" s="45" t="s">
        <v>50</v>
      </c>
      <c r="D61" s="45"/>
      <c r="E61" s="45"/>
      <c r="F61" s="38"/>
      <c r="G61" s="37"/>
      <c r="H61" s="37"/>
      <c r="I61" s="37"/>
      <c r="J61" s="37"/>
      <c r="K61" s="37"/>
      <c r="L61" s="37"/>
      <c r="M61" s="37"/>
      <c r="N61" s="365"/>
      <c r="O61" s="365"/>
      <c r="P61" s="365"/>
      <c r="Q61" s="365">
        <f>ФОТ!F86</f>
        <v>0.46023132943024414</v>
      </c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45"/>
      <c r="AF61" s="345"/>
      <c r="AG61" s="363"/>
      <c r="AH61" s="363"/>
      <c r="AI61" s="365"/>
      <c r="AJ61" s="345"/>
      <c r="AK61" s="345"/>
      <c r="AL61" s="363"/>
      <c r="AM61" s="484"/>
      <c r="AN61" s="303"/>
    </row>
    <row r="62" spans="1:40" ht="15.75" hidden="1">
      <c r="A62" s="16"/>
      <c r="B62" s="325" t="s">
        <v>14</v>
      </c>
      <c r="C62" s="45" t="s">
        <v>51</v>
      </c>
      <c r="D62" s="45"/>
      <c r="E62" s="45"/>
      <c r="F62" s="38"/>
      <c r="G62" s="37"/>
      <c r="H62" s="37"/>
      <c r="I62" s="37"/>
      <c r="J62" s="37"/>
      <c r="K62" s="37"/>
      <c r="L62" s="37"/>
      <c r="M62" s="37"/>
      <c r="N62" s="365"/>
      <c r="O62" s="365"/>
      <c r="P62" s="365"/>
      <c r="Q62" s="365">
        <f>O62*P60</f>
        <v>0</v>
      </c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45"/>
      <c r="AF62" s="345"/>
      <c r="AG62" s="363"/>
      <c r="AH62" s="363"/>
      <c r="AI62" s="365"/>
      <c r="AJ62" s="345"/>
      <c r="AK62" s="345"/>
      <c r="AL62" s="363"/>
      <c r="AM62" s="484"/>
      <c r="AN62" s="303"/>
    </row>
    <row r="63" spans="1:40" ht="15.75" hidden="1">
      <c r="A63" s="16" t="s">
        <v>64</v>
      </c>
      <c r="B63" s="321" t="s">
        <v>132</v>
      </c>
      <c r="C63" s="14" t="s">
        <v>31</v>
      </c>
      <c r="D63" s="14"/>
      <c r="E63" s="14"/>
      <c r="F63" s="38"/>
      <c r="G63" s="15"/>
      <c r="H63" s="15"/>
      <c r="I63" s="15"/>
      <c r="J63" s="15"/>
      <c r="K63" s="15"/>
      <c r="L63" s="15"/>
      <c r="M63" s="15"/>
      <c r="N63" s="362"/>
      <c r="O63" s="362"/>
      <c r="P63" s="362"/>
      <c r="Q63" s="362">
        <f>Q60*0.302</f>
        <v>0</v>
      </c>
      <c r="R63" s="362"/>
      <c r="S63" s="362"/>
      <c r="T63" s="362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63"/>
      <c r="AH63" s="363"/>
      <c r="AI63" s="345"/>
      <c r="AJ63" s="345"/>
      <c r="AK63" s="345"/>
      <c r="AL63" s="363"/>
      <c r="AM63" s="484"/>
      <c r="AN63" s="303"/>
    </row>
    <row r="64" spans="1:40" ht="15.75">
      <c r="A64" s="16" t="s">
        <v>79</v>
      </c>
      <c r="B64" s="321" t="s">
        <v>133</v>
      </c>
      <c r="C64" s="14" t="s">
        <v>31</v>
      </c>
      <c r="D64" s="15"/>
      <c r="E64" s="15"/>
      <c r="F64" s="168"/>
      <c r="G64" s="15"/>
      <c r="H64" s="15">
        <v>1501.48</v>
      </c>
      <c r="I64" s="15">
        <v>703.88400000000001</v>
      </c>
      <c r="J64" s="15">
        <v>797.60400000000004</v>
      </c>
      <c r="K64" s="15"/>
      <c r="L64" s="15"/>
      <c r="M64" s="15">
        <f>H64</f>
        <v>1501.48</v>
      </c>
      <c r="N64" s="362">
        <v>1088</v>
      </c>
      <c r="O64" s="362">
        <f>N64/2</f>
        <v>544</v>
      </c>
      <c r="P64" s="364">
        <f>P43</f>
        <v>1.0569999999999999</v>
      </c>
      <c r="Q64" s="362">
        <f>O64</f>
        <v>544</v>
      </c>
      <c r="R64" s="362"/>
      <c r="S64" s="362">
        <v>1025</v>
      </c>
      <c r="T64" s="362"/>
      <c r="U64" s="345"/>
      <c r="V64" s="345"/>
      <c r="W64" s="345"/>
      <c r="X64" s="345"/>
      <c r="Y64" s="345">
        <f>Z64+AB64</f>
        <v>1104.1024</v>
      </c>
      <c r="Z64" s="345">
        <f>Q64</f>
        <v>544</v>
      </c>
      <c r="AA64" s="364"/>
      <c r="AB64" s="345">
        <f>Z64*$AA$24</f>
        <v>560.10239999999999</v>
      </c>
      <c r="AC64" s="345"/>
      <c r="AD64" s="345"/>
      <c r="AE64" s="345"/>
      <c r="AF64" s="345"/>
      <c r="AG64" s="363"/>
      <c r="AH64" s="363"/>
      <c r="AI64" s="345">
        <f>AJ64+AL64</f>
        <v>1136.78383104</v>
      </c>
      <c r="AJ64" s="345">
        <f>AB64</f>
        <v>560.10239999999999</v>
      </c>
      <c r="AK64" s="364"/>
      <c r="AL64" s="363">
        <f>AJ64*$AK$24</f>
        <v>576.68143104000001</v>
      </c>
      <c r="AM64" s="484"/>
      <c r="AN64" s="303"/>
    </row>
    <row r="65" spans="1:40" s="313" customFormat="1" ht="27" customHeight="1">
      <c r="A65" s="339" t="s">
        <v>20</v>
      </c>
      <c r="B65" s="379" t="s">
        <v>152</v>
      </c>
      <c r="C65" s="341" t="s">
        <v>4</v>
      </c>
      <c r="D65" s="342"/>
      <c r="E65" s="342"/>
      <c r="F65" s="342"/>
      <c r="G65" s="342"/>
      <c r="H65" s="342">
        <v>4804.37</v>
      </c>
      <c r="I65" s="342">
        <v>2315.36</v>
      </c>
      <c r="J65" s="342">
        <v>2489.0100000000002</v>
      </c>
      <c r="K65" s="342"/>
      <c r="L65" s="342"/>
      <c r="M65" s="342">
        <f>M66</f>
        <v>5472.5540000000001</v>
      </c>
      <c r="N65" s="355">
        <f>O65+Q65</f>
        <v>5398.9410940713005</v>
      </c>
      <c r="O65" s="354">
        <f>O66</f>
        <v>2601.8993224440001</v>
      </c>
      <c r="P65" s="355"/>
      <c r="Q65" s="354">
        <f>Q66</f>
        <v>2797.0417716273</v>
      </c>
      <c r="R65" s="354"/>
      <c r="S65" s="354">
        <v>5168</v>
      </c>
      <c r="T65" s="354"/>
      <c r="U65" s="354">
        <f>V65+X65</f>
        <v>5789.8764672685111</v>
      </c>
      <c r="V65" s="354">
        <f>V69+V72</f>
        <v>2797.0417716273</v>
      </c>
      <c r="W65" s="354"/>
      <c r="X65" s="354">
        <f>X69+X72</f>
        <v>2992.8346956412111</v>
      </c>
      <c r="Y65" s="354">
        <f>Z65+AB65</f>
        <v>5850.3392076332002</v>
      </c>
      <c r="Z65" s="354">
        <f>Z69+Z73</f>
        <v>2852.4325732000002</v>
      </c>
      <c r="AA65" s="354"/>
      <c r="AB65" s="354">
        <f>AB69+AB73</f>
        <v>2997.9066344331995</v>
      </c>
      <c r="AC65" s="354"/>
      <c r="AD65" s="354">
        <f>AE65+AG65</f>
        <v>6171.2251424121769</v>
      </c>
      <c r="AE65" s="354">
        <f>AE69+AE72</f>
        <v>2992.8346956412111</v>
      </c>
      <c r="AF65" s="354"/>
      <c r="AG65" s="354">
        <f>AG69+AG72</f>
        <v>3178.3904467709663</v>
      </c>
      <c r="AH65" s="354"/>
      <c r="AI65" s="354">
        <f>AI66</f>
        <v>5648.9549143906115</v>
      </c>
      <c r="AJ65" s="354">
        <f>AJ66</f>
        <v>2759.6262405425555</v>
      </c>
      <c r="AK65" s="354"/>
      <c r="AL65" s="354">
        <f>AL66</f>
        <v>2889.3286738480551</v>
      </c>
      <c r="AM65" s="484">
        <f>AI65-Y65</f>
        <v>-201.38429324258868</v>
      </c>
      <c r="AN65" s="484">
        <f>AI65-AD65</f>
        <v>-522.27022802156534</v>
      </c>
    </row>
    <row r="66" spans="1:40" s="48" customFormat="1" ht="18.75" customHeight="1">
      <c r="A66" s="16" t="s">
        <v>65</v>
      </c>
      <c r="B66" s="329" t="s">
        <v>66</v>
      </c>
      <c r="C66" s="35" t="s">
        <v>31</v>
      </c>
      <c r="D66" s="38"/>
      <c r="E66" s="8"/>
      <c r="F66" s="38"/>
      <c r="G66" s="38"/>
      <c r="H66" s="38">
        <v>4804.37</v>
      </c>
      <c r="I66" s="38">
        <v>2315.36</v>
      </c>
      <c r="J66" s="38">
        <v>2489.0100000000002</v>
      </c>
      <c r="K66" s="38"/>
      <c r="L66" s="38">
        <f>L69+L73</f>
        <v>3523.154</v>
      </c>
      <c r="M66" s="38">
        <f>M69</f>
        <v>5472.5540000000001</v>
      </c>
      <c r="N66" s="371">
        <f>O66+Q66</f>
        <v>5398.9410940713005</v>
      </c>
      <c r="O66" s="371">
        <f>O69</f>
        <v>2601.8993224440001</v>
      </c>
      <c r="P66" s="370"/>
      <c r="Q66" s="371">
        <f>Q69</f>
        <v>2797.0417716273</v>
      </c>
      <c r="R66" s="371"/>
      <c r="S66" s="371">
        <v>5168</v>
      </c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>
        <f>AI69+AI73</f>
        <v>5648.9549143906115</v>
      </c>
      <c r="AJ66" s="371">
        <f>AJ69+AJ73</f>
        <v>2759.6262405425555</v>
      </c>
      <c r="AK66" s="371"/>
      <c r="AL66" s="371">
        <f>AL69+AL73</f>
        <v>2889.3286738480551</v>
      </c>
      <c r="AM66" s="484"/>
      <c r="AN66" s="488"/>
    </row>
    <row r="67" spans="1:40" s="48" customFormat="1" ht="21" customHeight="1">
      <c r="A67" s="42"/>
      <c r="B67" s="330" t="s">
        <v>47</v>
      </c>
      <c r="C67" s="6" t="s">
        <v>9</v>
      </c>
      <c r="D67" s="8"/>
      <c r="E67" s="8"/>
      <c r="F67" s="38"/>
      <c r="G67" s="38"/>
      <c r="H67" s="38">
        <v>882.67</v>
      </c>
      <c r="I67" s="38">
        <v>441.33</v>
      </c>
      <c r="J67" s="38">
        <v>441.33</v>
      </c>
      <c r="K67" s="38"/>
      <c r="L67" s="38">
        <f>L71+L75</f>
        <v>666.23200000000008</v>
      </c>
      <c r="M67" s="38">
        <f>H67</f>
        <v>882.67</v>
      </c>
      <c r="N67" s="371">
        <f>O67+Q67</f>
        <v>882.66</v>
      </c>
      <c r="O67" s="371">
        <f>O71</f>
        <v>441.33</v>
      </c>
      <c r="P67" s="371"/>
      <c r="Q67" s="371">
        <f>Q71</f>
        <v>441.33</v>
      </c>
      <c r="R67" s="371"/>
      <c r="S67" s="371">
        <v>907</v>
      </c>
      <c r="T67" s="371"/>
      <c r="U67" s="371">
        <v>882.66</v>
      </c>
      <c r="V67" s="371"/>
      <c r="W67" s="371"/>
      <c r="X67" s="371"/>
      <c r="Y67" s="371">
        <f>Y75+Y71</f>
        <v>970.04</v>
      </c>
      <c r="Z67" s="371"/>
      <c r="AA67" s="371"/>
      <c r="AB67" s="371"/>
      <c r="AC67" s="371"/>
      <c r="AD67" s="371">
        <f>AD71</f>
        <v>882.66</v>
      </c>
      <c r="AE67" s="371">
        <f>AE71</f>
        <v>441.33</v>
      </c>
      <c r="AF67" s="371"/>
      <c r="AG67" s="371">
        <f>AG71</f>
        <v>441.33</v>
      </c>
      <c r="AH67" s="371"/>
      <c r="AI67" s="371">
        <f>AI68*AI10</f>
        <v>855.71848434004471</v>
      </c>
      <c r="AJ67" s="371">
        <f>AI67/2</f>
        <v>427.85924217002236</v>
      </c>
      <c r="AK67" s="371"/>
      <c r="AL67" s="371">
        <f>AI67-AJ67</f>
        <v>427.85924217002236</v>
      </c>
      <c r="AM67" s="484">
        <f>AI67-Y67</f>
        <v>-114.32151565995525</v>
      </c>
      <c r="AN67" s="484">
        <f>AI67-AD67</f>
        <v>-26.941515659955257</v>
      </c>
    </row>
    <row r="68" spans="1:40" s="313" customFormat="1" ht="39" customHeight="1">
      <c r="A68" s="16"/>
      <c r="B68" s="383" t="s">
        <v>19</v>
      </c>
      <c r="C68" s="45" t="s">
        <v>25</v>
      </c>
      <c r="D68" s="38"/>
      <c r="E68" s="38"/>
      <c r="F68" s="38"/>
      <c r="G68" s="38"/>
      <c r="H68" s="38">
        <f>H67/H10</f>
        <v>1.7513293650793651</v>
      </c>
      <c r="I68" s="38">
        <f t="shared" ref="I68:M68" si="14">I67/I10</f>
        <v>1.7513095238095238</v>
      </c>
      <c r="J68" s="38">
        <f t="shared" si="14"/>
        <v>1.7513095238095238</v>
      </c>
      <c r="K68" s="38" t="e">
        <f t="shared" si="14"/>
        <v>#DIV/0!</v>
      </c>
      <c r="L68" s="38"/>
      <c r="M68" s="38">
        <f t="shared" si="14"/>
        <v>1.7513293650793651</v>
      </c>
      <c r="N68" s="371">
        <f>N67/N10</f>
        <v>1.7513095238095238</v>
      </c>
      <c r="O68" s="371">
        <f>O67/O10</f>
        <v>1.7513095238095238</v>
      </c>
      <c r="P68" s="371"/>
      <c r="Q68" s="371">
        <f>Q67/Q10</f>
        <v>1.7513095238095238</v>
      </c>
      <c r="R68" s="371"/>
      <c r="S68" s="371">
        <v>2.75</v>
      </c>
      <c r="T68" s="371"/>
      <c r="U68" s="371"/>
      <c r="V68" s="371"/>
      <c r="W68" s="371"/>
      <c r="X68" s="371"/>
      <c r="Y68" s="371">
        <f>Y67/Y10</f>
        <v>1.9246825396825396</v>
      </c>
      <c r="Z68" s="371"/>
      <c r="AA68" s="371"/>
      <c r="AB68" s="371"/>
      <c r="AC68" s="371"/>
      <c r="AD68" s="371">
        <f>AD67/AD10</f>
        <v>1.7513095238095238</v>
      </c>
      <c r="AE68" s="371"/>
      <c r="AF68" s="371"/>
      <c r="AG68" s="371"/>
      <c r="AH68" s="371"/>
      <c r="AI68" s="371">
        <v>1.75</v>
      </c>
      <c r="AJ68" s="371">
        <v>1.75</v>
      </c>
      <c r="AK68" s="371"/>
      <c r="AL68" s="371">
        <v>1.75</v>
      </c>
      <c r="AM68" s="484"/>
      <c r="AN68" s="486"/>
    </row>
    <row r="69" spans="1:40" s="48" customFormat="1" ht="21" customHeight="1">
      <c r="A69" s="16" t="s">
        <v>67</v>
      </c>
      <c r="B69" s="326" t="s">
        <v>46</v>
      </c>
      <c r="C69" s="45" t="s">
        <v>4</v>
      </c>
      <c r="D69" s="45"/>
      <c r="E69" s="40"/>
      <c r="F69" s="38"/>
      <c r="G69" s="38"/>
      <c r="H69" s="38">
        <v>4804.37</v>
      </c>
      <c r="I69" s="38">
        <v>2315.36</v>
      </c>
      <c r="J69" s="38">
        <v>2468.54</v>
      </c>
      <c r="K69" s="38"/>
      <c r="L69" s="38">
        <v>385.166</v>
      </c>
      <c r="M69" s="38">
        <f>M70*M71</f>
        <v>5472.5540000000001</v>
      </c>
      <c r="N69" s="371">
        <f>O69+Q69</f>
        <v>5398.9410940713005</v>
      </c>
      <c r="O69" s="371">
        <f>O70*O71</f>
        <v>2601.8993224440001</v>
      </c>
      <c r="P69" s="371"/>
      <c r="Q69" s="371">
        <f>Q70*Q71</f>
        <v>2797.0417716273</v>
      </c>
      <c r="R69" s="371"/>
      <c r="S69" s="371">
        <v>1094</v>
      </c>
      <c r="T69" s="371"/>
      <c r="U69" s="371">
        <f>V69+X69</f>
        <v>5789.8764672685111</v>
      </c>
      <c r="V69" s="371">
        <f>V70*V71</f>
        <v>2797.0417716273</v>
      </c>
      <c r="W69" s="371"/>
      <c r="X69" s="371">
        <f>X70*X71</f>
        <v>2992.8346956412111</v>
      </c>
      <c r="Y69" s="371">
        <f>Z69+AB69</f>
        <v>854.21763292319974</v>
      </c>
      <c r="Z69" s="371">
        <f>Z70*Z71</f>
        <v>416.48836319999992</v>
      </c>
      <c r="AA69" s="371"/>
      <c r="AB69" s="371">
        <f>AB70*AB71</f>
        <v>437.72926972319982</v>
      </c>
      <c r="AC69" s="371"/>
      <c r="AD69" s="371">
        <f>AE69+AG69</f>
        <v>6171.2251424121769</v>
      </c>
      <c r="AE69" s="371">
        <f>AE70*AE71</f>
        <v>2992.8346956412111</v>
      </c>
      <c r="AF69" s="371"/>
      <c r="AG69" s="371">
        <f>AG70*AG71</f>
        <v>3178.3904467709663</v>
      </c>
      <c r="AH69" s="371"/>
      <c r="AI69" s="371">
        <f>AJ69+AL69</f>
        <v>1189.7961776832631</v>
      </c>
      <c r="AJ69" s="371">
        <f>AJ70*AJ71</f>
        <v>581.23897297667952</v>
      </c>
      <c r="AK69" s="371"/>
      <c r="AL69" s="371">
        <f>AL70*AL71</f>
        <v>608.55720470658343</v>
      </c>
      <c r="AM69" s="484"/>
      <c r="AN69" s="488"/>
    </row>
    <row r="70" spans="1:40" ht="15.75">
      <c r="A70" s="16"/>
      <c r="B70" s="317" t="s">
        <v>181</v>
      </c>
      <c r="C70" s="45" t="s">
        <v>10</v>
      </c>
      <c r="D70" s="45"/>
      <c r="E70" s="36"/>
      <c r="F70" s="182"/>
      <c r="G70" s="36"/>
      <c r="H70" s="36">
        <v>5.44</v>
      </c>
      <c r="I70" s="36">
        <v>5.25</v>
      </c>
      <c r="J70" s="36">
        <v>5.64</v>
      </c>
      <c r="K70" s="36"/>
      <c r="L70" s="36">
        <f>L69/L71</f>
        <v>5.7588026852862466</v>
      </c>
      <c r="M70" s="36">
        <v>6.2</v>
      </c>
      <c r="N70" s="351">
        <f>N69/N71</f>
        <v>6.1166713050000006</v>
      </c>
      <c r="O70" s="351">
        <f>4.99626*1.18</f>
        <v>5.8955868000000002</v>
      </c>
      <c r="P70" s="364">
        <v>1.075</v>
      </c>
      <c r="Q70" s="351">
        <f>O70*P70</f>
        <v>6.33775581</v>
      </c>
      <c r="R70" s="351"/>
      <c r="S70" s="351">
        <v>6.15</v>
      </c>
      <c r="T70" s="351"/>
      <c r="U70" s="351">
        <f>U69/U71</f>
        <v>6.5595772633500005</v>
      </c>
      <c r="V70" s="351">
        <f>Q70</f>
        <v>6.33775581</v>
      </c>
      <c r="W70" s="364">
        <v>1.07</v>
      </c>
      <c r="X70" s="351">
        <f>V70*W70</f>
        <v>6.7813987167000001</v>
      </c>
      <c r="Y70" s="351"/>
      <c r="Z70" s="372">
        <f>5.387*1.18</f>
        <v>6.3566599999999989</v>
      </c>
      <c r="AA70" s="368">
        <v>1.0509999999999999</v>
      </c>
      <c r="AB70" s="351">
        <f>Z70*AA70</f>
        <v>6.680849659999998</v>
      </c>
      <c r="AC70" s="351"/>
      <c r="AD70" s="351">
        <f>AD69/AD71</f>
        <v>6.9916220769177002</v>
      </c>
      <c r="AE70" s="351">
        <f>X70</f>
        <v>6.7813987167000001</v>
      </c>
      <c r="AF70" s="364">
        <v>1.0620000000000001</v>
      </c>
      <c r="AG70" s="351">
        <f>AE70*AF70</f>
        <v>7.2018454371354004</v>
      </c>
      <c r="AH70" s="351"/>
      <c r="AI70" s="351"/>
      <c r="AJ70" s="351">
        <f>5.86623*1.18</f>
        <v>6.9221513999999997</v>
      </c>
      <c r="AK70" s="364">
        <f>AI27+1</f>
        <v>1.0469999999999999</v>
      </c>
      <c r="AL70" s="351">
        <f>AJ70*AK70</f>
        <v>7.2474925157999994</v>
      </c>
      <c r="AM70" s="484"/>
      <c r="AN70" s="303"/>
    </row>
    <row r="71" spans="1:40" ht="15.75">
      <c r="A71" s="16"/>
      <c r="B71" s="332" t="s">
        <v>76</v>
      </c>
      <c r="C71" s="45" t="s">
        <v>9</v>
      </c>
      <c r="D71" s="45"/>
      <c r="E71" s="36"/>
      <c r="F71" s="182"/>
      <c r="G71" s="36"/>
      <c r="H71" s="36">
        <v>882.67</v>
      </c>
      <c r="I71" s="36">
        <v>441.33</v>
      </c>
      <c r="J71" s="36">
        <v>441.33</v>
      </c>
      <c r="K71" s="36"/>
      <c r="L71" s="36">
        <v>66.882999999999996</v>
      </c>
      <c r="M71" s="36">
        <f>H71</f>
        <v>882.67</v>
      </c>
      <c r="N71" s="351">
        <f>O71+Q71</f>
        <v>882.66</v>
      </c>
      <c r="O71" s="351">
        <f>J71</f>
        <v>441.33</v>
      </c>
      <c r="P71" s="368"/>
      <c r="Q71" s="351">
        <f>O71</f>
        <v>441.33</v>
      </c>
      <c r="R71" s="351"/>
      <c r="S71" s="351">
        <v>178</v>
      </c>
      <c r="T71" s="351"/>
      <c r="U71" s="351">
        <f>V71+X71</f>
        <v>882.66</v>
      </c>
      <c r="V71" s="351">
        <f>Q71</f>
        <v>441.33</v>
      </c>
      <c r="W71" s="351"/>
      <c r="X71" s="351">
        <f>V71</f>
        <v>441.33</v>
      </c>
      <c r="Y71" s="351">
        <f>Z71+AB71</f>
        <v>131.04</v>
      </c>
      <c r="Z71" s="351">
        <f>Z72*Z10</f>
        <v>65.52</v>
      </c>
      <c r="AA71" s="351"/>
      <c r="AB71" s="351">
        <f>AB72*AB10</f>
        <v>65.52</v>
      </c>
      <c r="AC71" s="351"/>
      <c r="AD71" s="351">
        <f>AE71+AG71</f>
        <v>882.66</v>
      </c>
      <c r="AE71" s="351">
        <f>X71</f>
        <v>441.33</v>
      </c>
      <c r="AF71" s="351"/>
      <c r="AG71" s="363">
        <f>AE71</f>
        <v>441.33</v>
      </c>
      <c r="AH71" s="363"/>
      <c r="AI71" s="351">
        <f>S71/S67*AI67</f>
        <v>167.93593187709808</v>
      </c>
      <c r="AJ71" s="351">
        <f>AI71/2</f>
        <v>83.967965938549042</v>
      </c>
      <c r="AK71" s="351"/>
      <c r="AL71" s="363">
        <f>AI71-AJ71</f>
        <v>83.967965938549042</v>
      </c>
      <c r="AM71" s="484"/>
      <c r="AN71" s="303"/>
    </row>
    <row r="72" spans="1:40" ht="15.75">
      <c r="A72" s="335"/>
      <c r="B72" s="326" t="s">
        <v>326</v>
      </c>
      <c r="C72" s="45"/>
      <c r="D72" s="6"/>
      <c r="E72" s="8"/>
      <c r="F72" s="38"/>
      <c r="G72" s="8"/>
      <c r="H72" s="8"/>
      <c r="I72" s="8"/>
      <c r="J72" s="8"/>
      <c r="K72" s="8"/>
      <c r="L72" s="8">
        <f>L71/L10</f>
        <v>0.26195648764331431</v>
      </c>
      <c r="M72" s="8"/>
      <c r="N72" s="345"/>
      <c r="O72" s="345"/>
      <c r="P72" s="345"/>
      <c r="Q72" s="345"/>
      <c r="R72" s="345"/>
      <c r="S72" s="345">
        <v>0.54</v>
      </c>
      <c r="T72" s="345"/>
      <c r="U72" s="345"/>
      <c r="V72" s="345"/>
      <c r="W72" s="345"/>
      <c r="X72" s="345"/>
      <c r="Y72" s="345">
        <v>0.26</v>
      </c>
      <c r="Z72" s="345">
        <v>0.26</v>
      </c>
      <c r="AA72" s="345"/>
      <c r="AB72" s="345">
        <v>0.26</v>
      </c>
      <c r="AC72" s="345"/>
      <c r="AD72" s="345"/>
      <c r="AE72" s="345"/>
      <c r="AF72" s="345"/>
      <c r="AG72" s="371"/>
      <c r="AH72" s="371"/>
      <c r="AI72" s="345"/>
      <c r="AJ72" s="345"/>
      <c r="AK72" s="345"/>
      <c r="AL72" s="371"/>
      <c r="AM72" s="484"/>
      <c r="AN72" s="303"/>
    </row>
    <row r="73" spans="1:40" ht="15.75">
      <c r="A73" s="16" t="s">
        <v>327</v>
      </c>
      <c r="B73" s="326" t="s">
        <v>168</v>
      </c>
      <c r="C73" s="45" t="s">
        <v>4</v>
      </c>
      <c r="D73" s="6"/>
      <c r="E73" s="8"/>
      <c r="F73" s="38"/>
      <c r="G73" s="8"/>
      <c r="H73" s="8"/>
      <c r="I73" s="8"/>
      <c r="J73" s="8"/>
      <c r="K73" s="8"/>
      <c r="L73" s="8">
        <v>3137.9879999999998</v>
      </c>
      <c r="M73" s="8"/>
      <c r="N73" s="345"/>
      <c r="O73" s="345"/>
      <c r="P73" s="345"/>
      <c r="Q73" s="345"/>
      <c r="R73" s="345"/>
      <c r="S73" s="345">
        <v>4074</v>
      </c>
      <c r="T73" s="345"/>
      <c r="U73" s="345"/>
      <c r="V73" s="345"/>
      <c r="W73" s="345"/>
      <c r="X73" s="345"/>
      <c r="Y73" s="371">
        <f>Z73+AB73</f>
        <v>4996.1215747099995</v>
      </c>
      <c r="Z73" s="345">
        <f>Z74*Z75</f>
        <v>2435.9442100000001</v>
      </c>
      <c r="AA73" s="345"/>
      <c r="AB73" s="345">
        <f>AB74*AB75</f>
        <v>2560.1773647099999</v>
      </c>
      <c r="AC73" s="345"/>
      <c r="AD73" s="345"/>
      <c r="AE73" s="345"/>
      <c r="AF73" s="345"/>
      <c r="AG73" s="371"/>
      <c r="AH73" s="371"/>
      <c r="AI73" s="345">
        <f>AJ73+AL73</f>
        <v>4459.158736707348</v>
      </c>
      <c r="AJ73" s="345">
        <f>AJ74*AJ75</f>
        <v>2178.3872675658758</v>
      </c>
      <c r="AK73" s="345"/>
      <c r="AL73" s="371">
        <f>AL74*AL75</f>
        <v>2280.7714691414717</v>
      </c>
      <c r="AM73" s="484"/>
      <c r="AN73" s="303"/>
    </row>
    <row r="74" spans="1:40" ht="15.75">
      <c r="A74" s="16"/>
      <c r="B74" s="317" t="s">
        <v>171</v>
      </c>
      <c r="C74" s="45" t="s">
        <v>10</v>
      </c>
      <c r="D74" s="6"/>
      <c r="E74" s="8"/>
      <c r="F74" s="38"/>
      <c r="G74" s="8"/>
      <c r="H74" s="8"/>
      <c r="I74" s="8"/>
      <c r="J74" s="8"/>
      <c r="K74" s="8"/>
      <c r="L74" s="8">
        <f>L73/L75</f>
        <v>5.235660691850657</v>
      </c>
      <c r="M74" s="8"/>
      <c r="N74" s="345"/>
      <c r="O74" s="345"/>
      <c r="P74" s="345"/>
      <c r="Q74" s="345"/>
      <c r="R74" s="345"/>
      <c r="S74" s="345">
        <v>5.59</v>
      </c>
      <c r="T74" s="345"/>
      <c r="U74" s="345"/>
      <c r="V74" s="345"/>
      <c r="W74" s="345"/>
      <c r="X74" s="345"/>
      <c r="Y74" s="345">
        <f>Y73/Y75</f>
        <v>5.9548528899999997</v>
      </c>
      <c r="Z74" s="345">
        <f>4.921*1.18</f>
        <v>5.8067799999999998</v>
      </c>
      <c r="AA74" s="373">
        <v>1.0509999999999999</v>
      </c>
      <c r="AB74" s="345">
        <f>Z74*AA74</f>
        <v>6.1029257799999996</v>
      </c>
      <c r="AC74" s="345"/>
      <c r="AD74" s="345"/>
      <c r="AE74" s="345"/>
      <c r="AF74" s="345"/>
      <c r="AG74" s="371"/>
      <c r="AH74" s="371"/>
      <c r="AI74" s="345"/>
      <c r="AJ74" s="351">
        <f>5.36824*1.18</f>
        <v>6.3345231999999996</v>
      </c>
      <c r="AK74" s="364">
        <f>AI27+1</f>
        <v>1.0469999999999999</v>
      </c>
      <c r="AL74" s="351">
        <f>AJ74*AK74</f>
        <v>6.632245790399999</v>
      </c>
      <c r="AM74" s="484"/>
      <c r="AN74" s="303"/>
    </row>
    <row r="75" spans="1:40" ht="15.75">
      <c r="A75" s="16"/>
      <c r="B75" s="332" t="s">
        <v>76</v>
      </c>
      <c r="C75" s="45" t="s">
        <v>9</v>
      </c>
      <c r="D75" s="6"/>
      <c r="E75" s="8"/>
      <c r="F75" s="38"/>
      <c r="G75" s="8"/>
      <c r="H75" s="8"/>
      <c r="I75" s="8"/>
      <c r="J75" s="8"/>
      <c r="K75" s="8"/>
      <c r="L75" s="8">
        <v>599.34900000000005</v>
      </c>
      <c r="M75" s="8"/>
      <c r="N75" s="345"/>
      <c r="O75" s="345"/>
      <c r="P75" s="345"/>
      <c r="Q75" s="345"/>
      <c r="R75" s="345"/>
      <c r="S75" s="345">
        <v>729</v>
      </c>
      <c r="T75" s="345"/>
      <c r="U75" s="345"/>
      <c r="V75" s="345"/>
      <c r="W75" s="345"/>
      <c r="X75" s="345"/>
      <c r="Y75" s="362">
        <v>839</v>
      </c>
      <c r="Z75" s="362">
        <v>419.5</v>
      </c>
      <c r="AA75" s="362">
        <v>0</v>
      </c>
      <c r="AB75" s="362">
        <v>419.5</v>
      </c>
      <c r="AC75" s="345"/>
      <c r="AD75" s="345"/>
      <c r="AE75" s="345"/>
      <c r="AF75" s="345"/>
      <c r="AG75" s="371"/>
      <c r="AH75" s="371"/>
      <c r="AI75" s="351">
        <f>AI67-AI71</f>
        <v>687.78255246294657</v>
      </c>
      <c r="AJ75" s="351">
        <f>AI75/2</f>
        <v>343.89127623147328</v>
      </c>
      <c r="AK75" s="345"/>
      <c r="AL75" s="363">
        <f>AI75-AJ75</f>
        <v>343.89127623147328</v>
      </c>
      <c r="AM75" s="484"/>
      <c r="AN75" s="303"/>
    </row>
    <row r="76" spans="1:40" ht="15.75">
      <c r="A76" s="16"/>
      <c r="B76" s="326" t="s">
        <v>328</v>
      </c>
      <c r="C76" s="45"/>
      <c r="D76" s="6"/>
      <c r="E76" s="8"/>
      <c r="F76" s="38"/>
      <c r="G76" s="8"/>
      <c r="H76" s="8"/>
      <c r="I76" s="8"/>
      <c r="J76" s="8"/>
      <c r="K76" s="8"/>
      <c r="L76" s="8">
        <f>L75/L10</f>
        <v>2.3474329637207183</v>
      </c>
      <c r="M76" s="8"/>
      <c r="N76" s="345"/>
      <c r="O76" s="345"/>
      <c r="P76" s="345"/>
      <c r="Q76" s="345"/>
      <c r="R76" s="345"/>
      <c r="S76" s="345">
        <v>2.21</v>
      </c>
      <c r="T76" s="345"/>
      <c r="U76" s="345"/>
      <c r="V76" s="345"/>
      <c r="W76" s="345"/>
      <c r="X76" s="345"/>
      <c r="Y76" s="345">
        <f>Y75/Y10</f>
        <v>1.6646825396825398</v>
      </c>
      <c r="Z76" s="345">
        <f>Z75/Z10</f>
        <v>1.6646825396825398</v>
      </c>
      <c r="AA76" s="345"/>
      <c r="AB76" s="345">
        <f>AB75/AB10</f>
        <v>1.6646825396825398</v>
      </c>
      <c r="AC76" s="345"/>
      <c r="AD76" s="345"/>
      <c r="AE76" s="345"/>
      <c r="AF76" s="345"/>
      <c r="AG76" s="371"/>
      <c r="AH76" s="371"/>
      <c r="AI76" s="345"/>
      <c r="AJ76" s="345"/>
      <c r="AK76" s="345"/>
      <c r="AL76" s="371"/>
      <c r="AM76" s="484"/>
      <c r="AN76" s="303"/>
    </row>
    <row r="77" spans="1:40" s="313" customFormat="1" ht="27" customHeight="1">
      <c r="A77" s="339" t="s">
        <v>21</v>
      </c>
      <c r="B77" s="379" t="s">
        <v>39</v>
      </c>
      <c r="C77" s="341" t="s">
        <v>4</v>
      </c>
      <c r="D77" s="342"/>
      <c r="E77" s="342"/>
      <c r="F77" s="342"/>
      <c r="G77" s="342"/>
      <c r="H77" s="342">
        <f>H79+H80+H82</f>
        <v>182.91</v>
      </c>
      <c r="I77" s="342">
        <f>I79+I80+I82</f>
        <v>88.86999999999999</v>
      </c>
      <c r="J77" s="342">
        <f>J79+J80+J82</f>
        <v>94.019999999999982</v>
      </c>
      <c r="K77" s="342"/>
      <c r="L77" s="342"/>
      <c r="M77" s="342">
        <f>M79+M80</f>
        <v>230.58999999999997</v>
      </c>
      <c r="N77" s="355">
        <f>O77+Q77</f>
        <v>198.85109660635513</v>
      </c>
      <c r="O77" s="354">
        <f>O79+O80+O81</f>
        <v>99.425548303177564</v>
      </c>
      <c r="P77" s="355"/>
      <c r="Q77" s="354">
        <f>Q79+Q80+Q81</f>
        <v>99.425548303177564</v>
      </c>
      <c r="R77" s="354"/>
      <c r="S77" s="354">
        <v>120</v>
      </c>
      <c r="T77" s="354">
        <f>S77-N77</f>
        <v>-78.851096606355128</v>
      </c>
      <c r="U77" s="354">
        <f>V77+X77</f>
        <v>211.39753179848225</v>
      </c>
      <c r="V77" s="354">
        <f>V79+V80+V81+V82</f>
        <v>104.36946680317757</v>
      </c>
      <c r="W77" s="354"/>
      <c r="X77" s="354">
        <f>X79+X80+X81+X82</f>
        <v>107.02806499530467</v>
      </c>
      <c r="Y77" s="354">
        <f>Z77+AB77</f>
        <v>189.482</v>
      </c>
      <c r="Z77" s="354">
        <f>Z79+Z80</f>
        <v>98.081000000000003</v>
      </c>
      <c r="AA77" s="354"/>
      <c r="AB77" s="354">
        <f>AB79+AB80</f>
        <v>91.400999999999996</v>
      </c>
      <c r="AC77" s="354"/>
      <c r="AD77" s="354">
        <f>AE77+AG77</f>
        <v>228.22246923589333</v>
      </c>
      <c r="AE77" s="354">
        <f>AE79+AE80+AE81+AE82</f>
        <v>112.52139289905466</v>
      </c>
      <c r="AF77" s="354"/>
      <c r="AG77" s="354">
        <f>AG79+AG80+AG81+AG82</f>
        <v>115.70107633683867</v>
      </c>
      <c r="AH77" s="354"/>
      <c r="AI77" s="354">
        <f>AI79+AI81+AI82+AI80</f>
        <v>144.66499999999999</v>
      </c>
      <c r="AJ77" s="354">
        <f>AJ79+AJ81+AJ82+AJ80</f>
        <v>72.332499999999996</v>
      </c>
      <c r="AK77" s="354"/>
      <c r="AL77" s="354">
        <f>AL79+AL81+AL82+AL80</f>
        <v>72.332499999999996</v>
      </c>
      <c r="AM77" s="484">
        <f>AI77-Y77</f>
        <v>-44.817000000000007</v>
      </c>
      <c r="AN77" s="484">
        <f>AI77-AD77</f>
        <v>-83.557469235893336</v>
      </c>
    </row>
    <row r="78" spans="1:40" ht="15.75" hidden="1">
      <c r="A78" s="16"/>
      <c r="B78" s="321" t="s">
        <v>24</v>
      </c>
      <c r="C78" s="45" t="s">
        <v>4</v>
      </c>
      <c r="D78" s="45"/>
      <c r="E78" s="45"/>
      <c r="F78" s="38"/>
      <c r="G78" s="40"/>
      <c r="H78" s="8"/>
      <c r="I78" s="40"/>
      <c r="J78" s="40"/>
      <c r="K78" s="40"/>
      <c r="L78" s="40"/>
      <c r="M78" s="40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7"/>
      <c r="AH78" s="367"/>
      <c r="AI78" s="366"/>
      <c r="AJ78" s="366"/>
      <c r="AK78" s="366"/>
      <c r="AL78" s="367"/>
      <c r="AM78" s="484"/>
      <c r="AN78" s="303"/>
    </row>
    <row r="79" spans="1:40" ht="15.75">
      <c r="A79" s="16" t="s">
        <v>139</v>
      </c>
      <c r="B79" s="321" t="s">
        <v>88</v>
      </c>
      <c r="C79" s="45" t="s">
        <v>4</v>
      </c>
      <c r="D79" s="47"/>
      <c r="E79" s="36"/>
      <c r="F79" s="67"/>
      <c r="G79" s="9"/>
      <c r="H79" s="9">
        <v>53.984999999999999</v>
      </c>
      <c r="I79" s="9">
        <v>26.99</v>
      </c>
      <c r="J79" s="9">
        <v>26.99</v>
      </c>
      <c r="K79" s="9"/>
      <c r="L79" s="9"/>
      <c r="M79" s="9">
        <v>72.95</v>
      </c>
      <c r="N79" s="360">
        <f>O79+Q79</f>
        <v>65.921187000000003</v>
      </c>
      <c r="O79" s="360">
        <f>(O15*93+(O17+O19)*414*1.15)/1000</f>
        <v>32.960593500000002</v>
      </c>
      <c r="P79" s="360"/>
      <c r="Q79" s="360">
        <f>O79</f>
        <v>32.960593500000002</v>
      </c>
      <c r="R79" s="360"/>
      <c r="S79" s="360">
        <v>5.0999999999999996</v>
      </c>
      <c r="T79" s="360"/>
      <c r="U79" s="360">
        <f>V79+X79</f>
        <v>75.809024000000008</v>
      </c>
      <c r="V79" s="360">
        <f>(V15*107+(V17+V19)*360*1.52)/1000</f>
        <v>37.904512000000004</v>
      </c>
      <c r="W79" s="360"/>
      <c r="X79" s="360">
        <f>V79</f>
        <v>37.904512000000004</v>
      </c>
      <c r="Y79" s="360">
        <v>75.81</v>
      </c>
      <c r="Z79" s="360">
        <f>Y79/2+3.34</f>
        <v>41.245000000000005</v>
      </c>
      <c r="AA79" s="360"/>
      <c r="AB79" s="360">
        <f>Y79-Z79</f>
        <v>34.564999999999998</v>
      </c>
      <c r="AC79" s="360"/>
      <c r="AD79" s="360">
        <f>AE79+AG79</f>
        <v>86.79567980749998</v>
      </c>
      <c r="AE79" s="360">
        <f>(AE15*122+(AE17+AE19)*414*1.15*1.15*1.15)/1000</f>
        <v>43.39783990374999</v>
      </c>
      <c r="AF79" s="360"/>
      <c r="AG79" s="360">
        <f>AE79</f>
        <v>43.39783990374999</v>
      </c>
      <c r="AH79" s="360"/>
      <c r="AI79" s="360">
        <f>S79*1.15</f>
        <v>5.8649999999999993</v>
      </c>
      <c r="AJ79" s="360">
        <f>AI79/2</f>
        <v>2.9324999999999997</v>
      </c>
      <c r="AK79" s="360"/>
      <c r="AL79" s="360">
        <f>AI79-AJ79</f>
        <v>2.9324999999999997</v>
      </c>
      <c r="AM79" s="484">
        <f>S79-N79</f>
        <v>-60.821187000000002</v>
      </c>
      <c r="AN79" s="303"/>
    </row>
    <row r="80" spans="1:40" ht="15.75">
      <c r="A80" s="16" t="s">
        <v>68</v>
      </c>
      <c r="B80" s="321" t="s">
        <v>325</v>
      </c>
      <c r="C80" s="45" t="s">
        <v>4</v>
      </c>
      <c r="D80" s="45"/>
      <c r="E80" s="50"/>
      <c r="F80" s="67"/>
      <c r="G80" s="9"/>
      <c r="H80" s="9">
        <v>127.77500000000001</v>
      </c>
      <c r="I80" s="9">
        <v>61.31</v>
      </c>
      <c r="J80" s="9">
        <v>66.459999999999994</v>
      </c>
      <c r="K80" s="9"/>
      <c r="L80" s="9">
        <v>109.3</v>
      </c>
      <c r="M80" s="9">
        <v>157.63999999999999</v>
      </c>
      <c r="N80" s="360">
        <f>O80+Q80</f>
        <v>132.92990960635512</v>
      </c>
      <c r="O80" s="360">
        <f>J100*O13*0.01</f>
        <v>66.464954803177562</v>
      </c>
      <c r="P80" s="360"/>
      <c r="Q80" s="360">
        <f>J100*Q13*0.01</f>
        <v>66.464954803177562</v>
      </c>
      <c r="R80" s="360"/>
      <c r="S80" s="360">
        <v>115</v>
      </c>
      <c r="T80" s="360"/>
      <c r="U80" s="360">
        <f>V80+X80</f>
        <v>135.58850779848223</v>
      </c>
      <c r="V80" s="360">
        <f>Q80</f>
        <v>66.464954803177562</v>
      </c>
      <c r="W80" s="360"/>
      <c r="X80" s="360">
        <f>V100*1.04*X13*0.01</f>
        <v>69.123552995304664</v>
      </c>
      <c r="Y80" s="360">
        <f>1.04*L80</f>
        <v>113.672</v>
      </c>
      <c r="Z80" s="360">
        <f>Y80/2</f>
        <v>56.835999999999999</v>
      </c>
      <c r="AA80" s="360"/>
      <c r="AB80" s="360">
        <f>Y80-Z80</f>
        <v>56.835999999999999</v>
      </c>
      <c r="AC80" s="360"/>
      <c r="AD80" s="360">
        <f>AE80+AG80</f>
        <v>141.42678942839336</v>
      </c>
      <c r="AE80" s="360">
        <f>X80</f>
        <v>69.123552995304664</v>
      </c>
      <c r="AF80" s="360"/>
      <c r="AG80" s="374">
        <f>AE100*1.04*AG13*0.01</f>
        <v>72.303236433088685</v>
      </c>
      <c r="AH80" s="374"/>
      <c r="AI80" s="360">
        <f>AJ80+AL80</f>
        <v>126.8</v>
      </c>
      <c r="AJ80" s="360">
        <v>63.4</v>
      </c>
      <c r="AK80" s="360"/>
      <c r="AL80" s="374">
        <f>AJ80</f>
        <v>63.4</v>
      </c>
      <c r="AM80" s="484">
        <f>S80-N80</f>
        <v>-17.929909606355125</v>
      </c>
      <c r="AN80" s="303"/>
    </row>
    <row r="81" spans="1:40" ht="15.75" hidden="1">
      <c r="A81" s="16" t="s">
        <v>69</v>
      </c>
      <c r="B81" s="321" t="s">
        <v>83</v>
      </c>
      <c r="C81" s="45" t="s">
        <v>4</v>
      </c>
      <c r="D81" s="45"/>
      <c r="E81" s="45"/>
      <c r="F81" s="67"/>
      <c r="G81" s="9"/>
      <c r="H81" s="9"/>
      <c r="I81" s="9"/>
      <c r="J81" s="9"/>
      <c r="K81" s="9"/>
      <c r="L81" s="9"/>
      <c r="M81" s="9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>
        <f>AI81/2</f>
        <v>0</v>
      </c>
      <c r="AK81" s="360"/>
      <c r="AL81" s="360">
        <f>AI81-AJ81</f>
        <v>0</v>
      </c>
      <c r="AM81" s="484"/>
      <c r="AN81" s="303"/>
    </row>
    <row r="82" spans="1:40" ht="15.75">
      <c r="A82" s="16" t="s">
        <v>138</v>
      </c>
      <c r="B82" s="321" t="s">
        <v>287</v>
      </c>
      <c r="C82" s="45" t="s">
        <v>4</v>
      </c>
      <c r="D82" s="45"/>
      <c r="E82" s="45"/>
      <c r="F82" s="67"/>
      <c r="G82" s="9"/>
      <c r="H82" s="9">
        <v>1.1499999999999999</v>
      </c>
      <c r="I82" s="9">
        <v>0.56999999999999995</v>
      </c>
      <c r="J82" s="9">
        <v>0.56999999999999995</v>
      </c>
      <c r="K82" s="9"/>
      <c r="L82" s="9"/>
      <c r="M82" s="9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>
        <f>Аренда!D7</f>
        <v>12</v>
      </c>
      <c r="AJ82" s="360">
        <f>AI82/2</f>
        <v>6</v>
      </c>
      <c r="AK82" s="360"/>
      <c r="AL82" s="360">
        <f>AI82-AJ82</f>
        <v>6</v>
      </c>
      <c r="AM82" s="484"/>
      <c r="AN82" s="303"/>
    </row>
    <row r="83" spans="1:40" ht="15.75" customHeight="1">
      <c r="A83" s="16" t="s">
        <v>180</v>
      </c>
      <c r="B83" s="321" t="s">
        <v>356</v>
      </c>
      <c r="C83" s="45" t="s">
        <v>4</v>
      </c>
      <c r="D83" s="45"/>
      <c r="E83" s="45"/>
      <c r="F83" s="67"/>
      <c r="G83" s="9"/>
      <c r="H83" s="9"/>
      <c r="I83" s="9"/>
      <c r="J83" s="9"/>
      <c r="K83" s="9"/>
      <c r="L83" s="9"/>
      <c r="M83" s="9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>
        <f>Аренда!D19</f>
        <v>278.90527000000003</v>
      </c>
      <c r="AJ83" s="360">
        <f>AI83/2</f>
        <v>139.45263500000001</v>
      </c>
      <c r="AK83" s="360"/>
      <c r="AL83" s="360">
        <f>AI83-AJ83</f>
        <v>139.45263500000001</v>
      </c>
      <c r="AM83" s="484"/>
      <c r="AN83" s="303"/>
    </row>
    <row r="84" spans="1:40" ht="15.75" hidden="1">
      <c r="A84" s="16" t="s">
        <v>355</v>
      </c>
      <c r="B84" s="321" t="s">
        <v>57</v>
      </c>
      <c r="C84" s="45" t="s">
        <v>4</v>
      </c>
      <c r="D84" s="45"/>
      <c r="E84" s="45"/>
      <c r="F84" s="38"/>
      <c r="G84" s="9"/>
      <c r="H84" s="9"/>
      <c r="I84" s="9"/>
      <c r="J84" s="9"/>
      <c r="K84" s="9"/>
      <c r="L84" s="9"/>
      <c r="M84" s="9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484"/>
      <c r="AN84" s="303"/>
    </row>
    <row r="85" spans="1:40" ht="15.75" hidden="1">
      <c r="A85" s="16"/>
      <c r="B85" s="330" t="s">
        <v>8</v>
      </c>
      <c r="C85" s="14" t="s">
        <v>26</v>
      </c>
      <c r="D85" s="45"/>
      <c r="E85" s="45"/>
      <c r="F85" s="38"/>
      <c r="G85" s="9"/>
      <c r="H85" s="9"/>
      <c r="I85" s="9"/>
      <c r="J85" s="9"/>
      <c r="K85" s="9"/>
      <c r="L85" s="9"/>
      <c r="M85" s="9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484"/>
      <c r="AN85" s="303"/>
    </row>
    <row r="86" spans="1:40" ht="15.75" hidden="1">
      <c r="A86" s="16"/>
      <c r="B86" s="330" t="s">
        <v>58</v>
      </c>
      <c r="C86" s="14" t="s">
        <v>11</v>
      </c>
      <c r="D86" s="45"/>
      <c r="E86" s="45"/>
      <c r="F86" s="38"/>
      <c r="G86" s="9"/>
      <c r="H86" s="9"/>
      <c r="I86" s="9"/>
      <c r="J86" s="9"/>
      <c r="K86" s="9"/>
      <c r="L86" s="9"/>
      <c r="M86" s="9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484"/>
      <c r="AN86" s="303"/>
    </row>
    <row r="87" spans="1:40" ht="20.25" customHeight="1">
      <c r="A87" s="522" t="s">
        <v>22</v>
      </c>
      <c r="B87" s="522"/>
      <c r="C87" s="296" t="s">
        <v>4</v>
      </c>
      <c r="D87" s="15"/>
      <c r="E87" s="15"/>
      <c r="F87" s="168"/>
      <c r="G87" s="15"/>
      <c r="H87" s="15">
        <v>0</v>
      </c>
      <c r="I87" s="15">
        <v>0</v>
      </c>
      <c r="J87" s="15">
        <v>0</v>
      </c>
      <c r="K87" s="15"/>
      <c r="L87" s="15"/>
      <c r="M87" s="15">
        <v>0</v>
      </c>
      <c r="N87" s="380">
        <v>0</v>
      </c>
      <c r="O87" s="380">
        <v>0</v>
      </c>
      <c r="P87" s="380"/>
      <c r="Q87" s="380">
        <f>O87</f>
        <v>0</v>
      </c>
      <c r="R87" s="362"/>
      <c r="S87" s="362">
        <v>266</v>
      </c>
      <c r="T87" s="362">
        <f>S87-N87</f>
        <v>266</v>
      </c>
      <c r="U87" s="362">
        <f>V87+X87</f>
        <v>0</v>
      </c>
      <c r="V87" s="362">
        <f>Q87</f>
        <v>0</v>
      </c>
      <c r="W87" s="362"/>
      <c r="X87" s="362">
        <f>V87</f>
        <v>0</v>
      </c>
      <c r="Y87" s="380">
        <v>0</v>
      </c>
      <c r="Z87" s="380">
        <v>0</v>
      </c>
      <c r="AA87" s="380"/>
      <c r="AB87" s="380">
        <v>0</v>
      </c>
      <c r="AC87" s="380"/>
      <c r="AD87" s="380">
        <f>AE87+AG87</f>
        <v>0</v>
      </c>
      <c r="AE87" s="380">
        <f>X87</f>
        <v>0</v>
      </c>
      <c r="AF87" s="380"/>
      <c r="AG87" s="380">
        <f>AE87</f>
        <v>0</v>
      </c>
      <c r="AH87" s="380"/>
      <c r="AI87" s="380">
        <f>Лист1!E12/1000</f>
        <v>313.02183999999994</v>
      </c>
      <c r="AJ87" s="380">
        <f>AI87/2</f>
        <v>156.51091999999997</v>
      </c>
      <c r="AK87" s="380"/>
      <c r="AL87" s="380">
        <f>AI87-AJ87</f>
        <v>156.51091999999997</v>
      </c>
      <c r="AM87" s="484"/>
      <c r="AN87" s="303"/>
    </row>
    <row r="88" spans="1:40" s="305" customFormat="1" ht="15.75">
      <c r="A88" s="522" t="s">
        <v>23</v>
      </c>
      <c r="B88" s="522"/>
      <c r="C88" s="296" t="s">
        <v>4</v>
      </c>
      <c r="D88" s="15"/>
      <c r="E88" s="15"/>
      <c r="F88" s="168"/>
      <c r="G88" s="15"/>
      <c r="H88" s="15">
        <v>0</v>
      </c>
      <c r="I88" s="15">
        <v>0</v>
      </c>
      <c r="J88" s="15">
        <v>0</v>
      </c>
      <c r="K88" s="15"/>
      <c r="L88" s="15"/>
      <c r="M88" s="15">
        <v>0</v>
      </c>
      <c r="N88" s="380">
        <v>0</v>
      </c>
      <c r="O88" s="380">
        <v>0</v>
      </c>
      <c r="P88" s="380"/>
      <c r="Q88" s="380">
        <v>0</v>
      </c>
      <c r="R88" s="362"/>
      <c r="S88" s="362"/>
      <c r="T88" s="362"/>
      <c r="U88" s="362">
        <v>0</v>
      </c>
      <c r="V88" s="362">
        <v>0</v>
      </c>
      <c r="W88" s="362"/>
      <c r="X88" s="362">
        <v>0</v>
      </c>
      <c r="Y88" s="380">
        <v>0</v>
      </c>
      <c r="Z88" s="380">
        <v>0</v>
      </c>
      <c r="AA88" s="380"/>
      <c r="AB88" s="380">
        <v>0</v>
      </c>
      <c r="AC88" s="380"/>
      <c r="AD88" s="380">
        <v>0</v>
      </c>
      <c r="AE88" s="380">
        <v>0</v>
      </c>
      <c r="AF88" s="380"/>
      <c r="AG88" s="380">
        <v>0</v>
      </c>
      <c r="AH88" s="380"/>
      <c r="AI88" s="380">
        <v>0</v>
      </c>
      <c r="AJ88" s="380">
        <f>AI88/2</f>
        <v>0</v>
      </c>
      <c r="AK88" s="380"/>
      <c r="AL88" s="380">
        <f>AI88-AJ88</f>
        <v>0</v>
      </c>
      <c r="AM88" s="484"/>
      <c r="AN88" s="489"/>
    </row>
    <row r="89" spans="1:40" ht="15.75" hidden="1">
      <c r="A89" s="6"/>
      <c r="B89" s="331" t="s">
        <v>30</v>
      </c>
      <c r="C89" s="6" t="s">
        <v>31</v>
      </c>
      <c r="D89" s="6"/>
      <c r="E89" s="6"/>
      <c r="F89" s="38"/>
      <c r="G89" s="8"/>
      <c r="H89" s="8"/>
      <c r="I89" s="8"/>
      <c r="J89" s="8"/>
      <c r="K89" s="8"/>
      <c r="L89" s="8"/>
      <c r="M89" s="8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484"/>
      <c r="AN89" s="303"/>
    </row>
    <row r="90" spans="1:40" ht="15.75" hidden="1">
      <c r="A90" s="6"/>
      <c r="B90" s="331" t="s">
        <v>34</v>
      </c>
      <c r="C90" s="6" t="s">
        <v>31</v>
      </c>
      <c r="D90" s="6"/>
      <c r="E90" s="6"/>
      <c r="F90" s="38"/>
      <c r="G90" s="8"/>
      <c r="H90" s="8"/>
      <c r="I90" s="8"/>
      <c r="J90" s="8"/>
      <c r="K90" s="8"/>
      <c r="L90" s="8"/>
      <c r="M90" s="8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484"/>
      <c r="AN90" s="303"/>
    </row>
    <row r="91" spans="1:40" ht="15.75" hidden="1">
      <c r="A91" s="6"/>
      <c r="B91" s="331" t="s">
        <v>35</v>
      </c>
      <c r="C91" s="6" t="s">
        <v>31</v>
      </c>
      <c r="D91" s="6"/>
      <c r="E91" s="6"/>
      <c r="F91" s="38"/>
      <c r="G91" s="8"/>
      <c r="H91" s="8"/>
      <c r="I91" s="8"/>
      <c r="J91" s="8"/>
      <c r="K91" s="8"/>
      <c r="L91" s="8"/>
      <c r="M91" s="8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484"/>
      <c r="AN91" s="303"/>
    </row>
    <row r="92" spans="1:40" ht="15.75" hidden="1">
      <c r="A92" s="6"/>
      <c r="B92" s="317" t="s">
        <v>36</v>
      </c>
      <c r="C92" s="280">
        <v>0.03</v>
      </c>
      <c r="D92" s="280"/>
      <c r="E92" s="280"/>
      <c r="F92" s="38"/>
      <c r="G92" s="8"/>
      <c r="H92" s="8"/>
      <c r="I92" s="8"/>
      <c r="J92" s="8"/>
      <c r="K92" s="8"/>
      <c r="L92" s="8"/>
      <c r="M92" s="8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484"/>
      <c r="AN92" s="303"/>
    </row>
    <row r="93" spans="1:40" ht="15.75" hidden="1">
      <c r="A93" s="6"/>
      <c r="B93" s="317" t="s">
        <v>127</v>
      </c>
      <c r="C93" s="280">
        <v>0.2</v>
      </c>
      <c r="D93" s="280"/>
      <c r="E93" s="280"/>
      <c r="F93" s="38"/>
      <c r="G93" s="8"/>
      <c r="H93" s="8"/>
      <c r="I93" s="8"/>
      <c r="J93" s="8"/>
      <c r="K93" s="8"/>
      <c r="L93" s="8"/>
      <c r="M93" s="8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484"/>
      <c r="AN93" s="303"/>
    </row>
    <row r="94" spans="1:40" ht="15.75">
      <c r="A94" s="339"/>
      <c r="B94" s="379" t="s">
        <v>27</v>
      </c>
      <c r="C94" s="341" t="s">
        <v>4</v>
      </c>
      <c r="D94" s="342"/>
      <c r="E94" s="342"/>
      <c r="F94" s="342"/>
      <c r="G94" s="342"/>
      <c r="H94" s="342">
        <f>H22+H87+H88</f>
        <v>12777.669999999998</v>
      </c>
      <c r="I94" s="342">
        <f>I22+I87+I88</f>
        <v>6131.3180000000002</v>
      </c>
      <c r="J94" s="342">
        <f>J22+J87+J88</f>
        <v>6646.348</v>
      </c>
      <c r="K94" s="342"/>
      <c r="L94" s="342"/>
      <c r="M94" s="342">
        <f>M22+M87+M88</f>
        <v>14102.470006880001</v>
      </c>
      <c r="N94" s="355">
        <f>O94+Q94</f>
        <v>12888.444395091268</v>
      </c>
      <c r="O94" s="354">
        <f>O22+O87+O88</f>
        <v>6295.1131093196645</v>
      </c>
      <c r="P94" s="355"/>
      <c r="Q94" s="354">
        <f>Q22+Q87+Q88</f>
        <v>6593.3312857716037</v>
      </c>
      <c r="R94" s="354"/>
      <c r="S94" s="354">
        <v>12910</v>
      </c>
      <c r="T94" s="354">
        <f>S94-N94</f>
        <v>21.555604908731766</v>
      </c>
      <c r="U94" s="354">
        <f>U22+U87+U88</f>
        <v>13577.627010661798</v>
      </c>
      <c r="V94" s="354">
        <f>V22+V87+V88</f>
        <v>6598.2752042716038</v>
      </c>
      <c r="W94" s="354"/>
      <c r="X94" s="354">
        <f>X22+X87+X88</f>
        <v>6979.3518063901938</v>
      </c>
      <c r="Y94" s="354">
        <f>Z94+AB94</f>
        <v>13542.97631270435</v>
      </c>
      <c r="Z94" s="354">
        <f>Z88+Z87+Z77+Z24+Z65</f>
        <v>6647.3775390411265</v>
      </c>
      <c r="AA94" s="354"/>
      <c r="AB94" s="354">
        <f>AB88+AB87+AB77+AB65+AB24</f>
        <v>6895.5987736632233</v>
      </c>
      <c r="AC94" s="354"/>
      <c r="AD94" s="354">
        <f>AD22+AD87+AD88</f>
        <v>14311.665520462697</v>
      </c>
      <c r="AE94" s="354">
        <f>AE22+AE87+AE88</f>
        <v>6984.8451342939434</v>
      </c>
      <c r="AF94" s="354"/>
      <c r="AG94" s="354">
        <f>AG22+AG87+AG88</f>
        <v>7326.8203861687534</v>
      </c>
      <c r="AH94" s="354"/>
      <c r="AI94" s="354">
        <f>AI88+AI87+AI77+AI65+AI24</f>
        <v>13831.890250571869</v>
      </c>
      <c r="AJ94" s="354">
        <f>AJ88+AJ87+AJ77+AJ24+AJ65</f>
        <v>6794.760799772579</v>
      </c>
      <c r="AK94" s="354"/>
      <c r="AL94" s="354">
        <f>AL88+AL87+AL77+AL65+AL24</f>
        <v>7037.129450799288</v>
      </c>
      <c r="AM94" s="484">
        <f>AI94-Y94</f>
        <v>288.91393786751905</v>
      </c>
      <c r="AN94" s="484">
        <f>AI94-AD94</f>
        <v>-479.77526989082799</v>
      </c>
    </row>
    <row r="95" spans="1:40" ht="15.75" hidden="1">
      <c r="A95" s="16"/>
      <c r="B95" s="333" t="s">
        <v>209</v>
      </c>
      <c r="C95" s="45"/>
      <c r="D95" s="40"/>
      <c r="E95" s="40"/>
      <c r="F95" s="181"/>
      <c r="G95" s="40"/>
      <c r="H95" s="40"/>
      <c r="I95" s="40"/>
      <c r="J95" s="40"/>
      <c r="K95" s="40"/>
      <c r="L95" s="40"/>
      <c r="M95" s="40"/>
      <c r="N95" s="366"/>
      <c r="O95" s="366"/>
      <c r="P95" s="366"/>
      <c r="Q95" s="366">
        <f>Q60+Q63+7</f>
        <v>7</v>
      </c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484"/>
      <c r="AN95" s="303"/>
    </row>
    <row r="96" spans="1:40" ht="15.75">
      <c r="A96" s="16"/>
      <c r="B96" s="333"/>
      <c r="C96" s="45"/>
      <c r="D96" s="40"/>
      <c r="E96" s="40"/>
      <c r="F96" s="181"/>
      <c r="G96" s="40"/>
      <c r="H96" s="40"/>
      <c r="I96" s="40"/>
      <c r="J96" s="40"/>
      <c r="K96" s="40"/>
      <c r="L96" s="40"/>
      <c r="M96" s="40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490"/>
      <c r="AN96" s="303"/>
    </row>
    <row r="97" spans="1:40" ht="15.75">
      <c r="A97" s="16"/>
      <c r="B97" s="333" t="s">
        <v>357</v>
      </c>
      <c r="C97" s="45" t="s">
        <v>4</v>
      </c>
      <c r="D97" s="40"/>
      <c r="E97" s="40"/>
      <c r="F97" s="181"/>
      <c r="G97" s="40"/>
      <c r="H97" s="40"/>
      <c r="I97" s="40"/>
      <c r="J97" s="40"/>
      <c r="K97" s="40"/>
      <c r="L97" s="40"/>
      <c r="M97" s="40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>
        <f>AJ97+AL97</f>
        <v>-138.31890250571868</v>
      </c>
      <c r="AJ97" s="366">
        <f>-AJ94*0.01</f>
        <v>-67.947607997725797</v>
      </c>
      <c r="AK97" s="366"/>
      <c r="AL97" s="366">
        <f>-AL94*0.01</f>
        <v>-70.371294507992886</v>
      </c>
      <c r="AM97" s="490"/>
      <c r="AN97" s="303"/>
    </row>
    <row r="98" spans="1:40" ht="15.75">
      <c r="A98" s="16"/>
      <c r="B98" s="333" t="s">
        <v>163</v>
      </c>
      <c r="C98" s="45" t="s">
        <v>4</v>
      </c>
      <c r="D98" s="45"/>
      <c r="E98" s="40"/>
      <c r="F98" s="38"/>
      <c r="G98" s="40"/>
      <c r="H98" s="40"/>
      <c r="I98" s="40"/>
      <c r="J98" s="40"/>
      <c r="K98" s="40"/>
      <c r="L98" s="40"/>
      <c r="M98" s="40"/>
      <c r="N98" s="366">
        <f>O98+Q98</f>
        <v>404.546565544244</v>
      </c>
      <c r="O98" s="366">
        <f>O99-O94</f>
        <v>351.38237099809157</v>
      </c>
      <c r="P98" s="366"/>
      <c r="Q98" s="366">
        <f>Q99-Q94</f>
        <v>53.16419454615243</v>
      </c>
      <c r="R98" s="366"/>
      <c r="S98" s="366"/>
      <c r="T98" s="366"/>
      <c r="U98" s="366"/>
      <c r="V98" s="366">
        <f>V99-V94</f>
        <v>48.220276046152321</v>
      </c>
      <c r="W98" s="366"/>
      <c r="X98" s="366">
        <f>X99-X94</f>
        <v>-27.11753397782104</v>
      </c>
      <c r="Y98" s="366"/>
      <c r="Z98" s="366">
        <f>29.5*Z13-Z94</f>
        <v>4.9609588741077459E-3</v>
      </c>
      <c r="AA98" s="366"/>
      <c r="AB98" s="366">
        <f>-Z98</f>
        <v>-4.9609588741077459E-3</v>
      </c>
      <c r="AC98" s="366"/>
      <c r="AD98" s="366"/>
      <c r="AE98" s="366">
        <f>AE99-AE94</f>
        <v>-32.6108618815706</v>
      </c>
      <c r="AF98" s="366"/>
      <c r="AG98" s="366">
        <f>AG99-AG94</f>
        <v>-41.640386168753139</v>
      </c>
      <c r="AH98" s="366"/>
      <c r="AI98" s="366">
        <f>AJ98+AL98</f>
        <v>-68.66</v>
      </c>
      <c r="AJ98" s="366">
        <v>-38.1</v>
      </c>
      <c r="AK98" s="366"/>
      <c r="AL98" s="366">
        <v>-30.56</v>
      </c>
      <c r="AM98" s="484"/>
      <c r="AN98" s="303"/>
    </row>
    <row r="99" spans="1:40" ht="15.75">
      <c r="A99" s="339"/>
      <c r="B99" s="379" t="s">
        <v>164</v>
      </c>
      <c r="C99" s="341" t="s">
        <v>4</v>
      </c>
      <c r="D99" s="342"/>
      <c r="E99" s="342"/>
      <c r="F99" s="342"/>
      <c r="G99" s="342"/>
      <c r="H99" s="342">
        <f>H94</f>
        <v>12777.669999999998</v>
      </c>
      <c r="I99" s="342">
        <f>I94</f>
        <v>6131.3180000000002</v>
      </c>
      <c r="J99" s="342">
        <f>J94</f>
        <v>6646.348</v>
      </c>
      <c r="K99" s="342"/>
      <c r="L99" s="342"/>
      <c r="M99" s="342">
        <f>M94</f>
        <v>14102.470006880001</v>
      </c>
      <c r="N99" s="355">
        <f>O99+Q99</f>
        <v>13292.990960635512</v>
      </c>
      <c r="O99" s="354">
        <f>O100*O13</f>
        <v>6646.4954803177561</v>
      </c>
      <c r="P99" s="355"/>
      <c r="Q99" s="354">
        <f>Q100*Q13</f>
        <v>6646.4954803177561</v>
      </c>
      <c r="R99" s="354"/>
      <c r="S99" s="354">
        <v>12910</v>
      </c>
      <c r="T99" s="354"/>
      <c r="U99" s="354">
        <f>V99+X99</f>
        <v>13598.729752730129</v>
      </c>
      <c r="V99" s="354">
        <f>V100*V13</f>
        <v>6646.4954803177561</v>
      </c>
      <c r="W99" s="354"/>
      <c r="X99" s="354">
        <f>X100*X13</f>
        <v>6952.2342724123728</v>
      </c>
      <c r="Y99" s="354">
        <f>AB99+Z99</f>
        <v>13542.97631270435</v>
      </c>
      <c r="Z99" s="354">
        <f>Z94+Z98</f>
        <v>6647.3825000000006</v>
      </c>
      <c r="AA99" s="354"/>
      <c r="AB99" s="354">
        <f>AB94+AB98</f>
        <v>6895.5938127043491</v>
      </c>
      <c r="AC99" s="354"/>
      <c r="AD99" s="354">
        <f>AE99+AG99</f>
        <v>14237.414272412374</v>
      </c>
      <c r="AE99" s="354">
        <f>AE100*AE13</f>
        <v>6952.2342724123728</v>
      </c>
      <c r="AF99" s="354"/>
      <c r="AG99" s="354">
        <v>7285.18</v>
      </c>
      <c r="AH99" s="354"/>
      <c r="AI99" s="354">
        <f>AI94+AI98+AI97+AI96</f>
        <v>13624.911348066151</v>
      </c>
      <c r="AJ99" s="354">
        <f>AJ94+AJ98+AJ97+AJ96</f>
        <v>6688.7131917748529</v>
      </c>
      <c r="AK99" s="354"/>
      <c r="AL99" s="354">
        <f>AL94+AL98+AL97+AL96</f>
        <v>6936.1981562912943</v>
      </c>
      <c r="AM99" s="484"/>
      <c r="AN99" s="303"/>
    </row>
    <row r="100" spans="1:40" ht="15.75">
      <c r="A100" s="43"/>
      <c r="B100" s="334" t="s">
        <v>137</v>
      </c>
      <c r="C100" s="6" t="s">
        <v>26</v>
      </c>
      <c r="D100" s="15"/>
      <c r="E100" s="15"/>
      <c r="F100" s="168"/>
      <c r="G100" s="15"/>
      <c r="H100" s="15">
        <f>H99/H13</f>
        <v>28.352608338695713</v>
      </c>
      <c r="I100" s="15">
        <f>I99/I13</f>
        <v>27.210393644876405</v>
      </c>
      <c r="J100" s="15">
        <f>J99/J13</f>
        <v>29.496063551235963</v>
      </c>
      <c r="K100" s="15"/>
      <c r="L100" s="15"/>
      <c r="M100" s="15">
        <f>M99/M13</f>
        <v>31.292231581600728</v>
      </c>
      <c r="N100" s="362">
        <f>N99/N13</f>
        <v>29.496063551235963</v>
      </c>
      <c r="O100" s="362">
        <f>J100</f>
        <v>29.496063551235963</v>
      </c>
      <c r="P100" s="362"/>
      <c r="Q100" s="362">
        <f>O100</f>
        <v>29.496063551235963</v>
      </c>
      <c r="R100" s="362"/>
      <c r="S100" s="362">
        <v>29.5</v>
      </c>
      <c r="T100" s="362"/>
      <c r="U100" s="362">
        <f>U99/U13</f>
        <v>30.17447301291439</v>
      </c>
      <c r="V100" s="362">
        <f>Q100</f>
        <v>29.496063551235963</v>
      </c>
      <c r="W100" s="362"/>
      <c r="X100" s="362">
        <f>V100*1.046</f>
        <v>30.852882474592818</v>
      </c>
      <c r="Y100" s="362"/>
      <c r="Z100" s="362">
        <f>Z99/Z13</f>
        <v>29.5</v>
      </c>
      <c r="AA100" s="362"/>
      <c r="AB100" s="468">
        <f>AB99/AB13</f>
        <v>30.601521346902828</v>
      </c>
      <c r="AC100" s="362"/>
      <c r="AD100" s="362">
        <f>AD99/AD13</f>
        <v>31.591661908741148</v>
      </c>
      <c r="AE100" s="362">
        <f>X100</f>
        <v>30.852882474592818</v>
      </c>
      <c r="AF100" s="362"/>
      <c r="AG100" s="362">
        <f>AG99/AG13</f>
        <v>32.330441342889479</v>
      </c>
      <c r="AH100" s="362"/>
      <c r="AI100" s="362">
        <f>AI99/AI13</f>
        <v>31.167595710455728</v>
      </c>
      <c r="AJ100" s="362">
        <f>AJ99/AJ13</f>
        <v>30.601462755795453</v>
      </c>
      <c r="AK100" s="362"/>
      <c r="AL100" s="362">
        <f>AL99/AL13</f>
        <v>31.73372866511599</v>
      </c>
      <c r="AM100" s="484"/>
      <c r="AN100" s="303"/>
    </row>
    <row r="101" spans="1:40" ht="17.25" customHeight="1">
      <c r="A101" s="43"/>
      <c r="B101" s="47" t="s">
        <v>80</v>
      </c>
      <c r="C101" s="6" t="s">
        <v>7</v>
      </c>
      <c r="D101" s="6"/>
      <c r="E101" s="6"/>
      <c r="F101" s="303"/>
      <c r="G101" s="303"/>
      <c r="H101" s="303"/>
      <c r="I101" s="303"/>
      <c r="J101" s="303"/>
      <c r="K101" s="8"/>
      <c r="L101" s="8"/>
      <c r="M101" s="151">
        <f>M100/J100</f>
        <v>1.0608951776648006</v>
      </c>
      <c r="N101" s="312"/>
      <c r="O101" s="151">
        <f>O100/J100</f>
        <v>1</v>
      </c>
      <c r="P101" s="151"/>
      <c r="Q101" s="151">
        <f>Q100/J100</f>
        <v>1</v>
      </c>
      <c r="R101" s="151"/>
      <c r="S101" s="151"/>
      <c r="T101" s="151"/>
      <c r="U101" s="15"/>
      <c r="V101" s="151">
        <f>V100/Q100</f>
        <v>1</v>
      </c>
      <c r="W101" s="151"/>
      <c r="X101" s="151">
        <f>X100/Q100</f>
        <v>1.046</v>
      </c>
      <c r="Y101" s="15"/>
      <c r="Z101" s="151">
        <v>1</v>
      </c>
      <c r="AA101" s="151"/>
      <c r="AB101" s="151">
        <f>AB100/Z100</f>
        <v>1.0373397066746721</v>
      </c>
      <c r="AC101" s="151"/>
      <c r="AD101" s="312"/>
      <c r="AE101" s="151">
        <f>AE100/X100</f>
        <v>1</v>
      </c>
      <c r="AF101" s="151"/>
      <c r="AG101" s="151">
        <f>AG100/X100</f>
        <v>1.0478904643516995</v>
      </c>
      <c r="AH101" s="151"/>
      <c r="AI101" s="312"/>
      <c r="AJ101" s="151"/>
      <c r="AK101" s="151"/>
      <c r="AL101" s="151">
        <f>AL100/AB100</f>
        <v>1.0369983996997507</v>
      </c>
      <c r="AM101" s="484"/>
      <c r="AN101" s="303"/>
    </row>
    <row r="102" spans="1:40">
      <c r="C102" s="3"/>
      <c r="D102" s="3"/>
      <c r="E102" s="3"/>
      <c r="S102" s="3"/>
      <c r="T102" s="3"/>
      <c r="AI102" s="516"/>
      <c r="AJ102" s="517">
        <f>AB100-AJ100</f>
        <v>5.8591107375605134E-5</v>
      </c>
      <c r="AK102" s="516"/>
      <c r="AL102" s="516">
        <f>AJ100*1.037</f>
        <v>31.733716877759882</v>
      </c>
      <c r="AM102" s="3"/>
      <c r="AN102" s="3"/>
    </row>
    <row r="103" spans="1:40" hidden="1">
      <c r="C103" s="3"/>
      <c r="D103" s="3"/>
      <c r="E103" s="3"/>
      <c r="S103" s="3"/>
      <c r="T103" s="3"/>
      <c r="AI103" s="516"/>
      <c r="AJ103" s="516"/>
      <c r="AK103" s="516"/>
      <c r="AL103" s="516"/>
      <c r="AM103" s="3"/>
      <c r="AN103" s="3"/>
    </row>
    <row r="104" spans="1:40" hidden="1">
      <c r="C104" s="3"/>
      <c r="D104" s="3"/>
      <c r="E104" s="3"/>
      <c r="O104" s="3">
        <f>(J99-O100)*O13</f>
        <v>1491008.3310996823</v>
      </c>
      <c r="S104" s="3"/>
      <c r="T104" s="3"/>
      <c r="AI104" s="516"/>
      <c r="AJ104" s="516"/>
      <c r="AK104" s="516"/>
      <c r="AL104" s="516"/>
      <c r="AM104" s="3"/>
      <c r="AN104" s="3"/>
    </row>
    <row r="105" spans="1:40" hidden="1">
      <c r="C105" s="3"/>
      <c r="D105" s="3"/>
      <c r="E105" s="3"/>
      <c r="S105" s="3"/>
      <c r="T105" s="3"/>
      <c r="AI105" s="516"/>
      <c r="AJ105" s="516"/>
      <c r="AK105" s="516"/>
      <c r="AL105" s="516"/>
      <c r="AM105" s="3"/>
      <c r="AN105" s="3"/>
    </row>
    <row r="106" spans="1:40" hidden="1">
      <c r="C106" s="3"/>
      <c r="D106" s="3"/>
      <c r="E106" s="3"/>
      <c r="S106" s="3"/>
      <c r="T106" s="3"/>
      <c r="AI106" s="516"/>
      <c r="AJ106" s="516"/>
      <c r="AK106" s="516"/>
      <c r="AL106" s="516"/>
      <c r="AM106" s="3"/>
      <c r="AN106" s="3"/>
    </row>
    <row r="107" spans="1:40" hidden="1">
      <c r="C107" s="3"/>
      <c r="D107" s="3"/>
      <c r="E107" s="3"/>
      <c r="S107" s="3"/>
      <c r="T107" s="3"/>
      <c r="AI107" s="516"/>
      <c r="AJ107" s="516"/>
      <c r="AK107" s="516"/>
      <c r="AL107" s="516"/>
      <c r="AM107" s="3"/>
      <c r="AN107" s="3"/>
    </row>
    <row r="108" spans="1:40" hidden="1">
      <c r="C108" s="3"/>
      <c r="D108" s="3"/>
      <c r="E108" s="3"/>
      <c r="S108" s="3"/>
      <c r="T108" s="3"/>
      <c r="AI108" s="516"/>
      <c r="AJ108" s="516"/>
      <c r="AK108" s="516"/>
      <c r="AL108" s="516"/>
      <c r="AM108" s="3"/>
      <c r="AN108" s="3"/>
    </row>
    <row r="109" spans="1:40" hidden="1">
      <c r="C109" s="3"/>
      <c r="D109" s="3"/>
      <c r="E109" s="3"/>
      <c r="S109" s="3"/>
      <c r="T109" s="3"/>
      <c r="AI109" s="516"/>
      <c r="AJ109" s="516"/>
      <c r="AK109" s="516"/>
      <c r="AL109" s="516"/>
      <c r="AM109" s="3"/>
      <c r="AN109" s="3"/>
    </row>
    <row r="110" spans="1:40" hidden="1">
      <c r="C110" s="3"/>
      <c r="D110" s="3"/>
      <c r="E110" s="3"/>
      <c r="S110" s="3"/>
      <c r="T110" s="3"/>
      <c r="AI110" s="516"/>
      <c r="AJ110" s="516"/>
      <c r="AK110" s="516"/>
      <c r="AL110" s="516"/>
      <c r="AM110" s="3"/>
      <c r="AN110" s="3"/>
    </row>
    <row r="111" spans="1:40" hidden="1">
      <c r="C111" s="3"/>
      <c r="D111" s="3"/>
      <c r="E111" s="3"/>
      <c r="S111" s="3"/>
      <c r="T111" s="3"/>
      <c r="V111" s="3">
        <v>1.1499999999999999</v>
      </c>
      <c r="W111" s="3">
        <v>1.32</v>
      </c>
      <c r="X111" s="3">
        <v>1.52</v>
      </c>
      <c r="Z111" s="3">
        <v>1.1499999999999999</v>
      </c>
      <c r="AA111" s="3">
        <v>1.32</v>
      </c>
      <c r="AB111" s="3">
        <v>1.52</v>
      </c>
      <c r="AI111" s="516"/>
      <c r="AJ111" s="516"/>
      <c r="AK111" s="516"/>
      <c r="AL111" s="516"/>
      <c r="AM111" s="3"/>
      <c r="AN111" s="3"/>
    </row>
    <row r="112" spans="1:40" hidden="1">
      <c r="C112" s="3"/>
      <c r="D112" s="3"/>
      <c r="E112" s="3"/>
      <c r="S112" s="3"/>
      <c r="T112" s="3"/>
      <c r="U112" s="3">
        <v>360</v>
      </c>
      <c r="V112" s="3">
        <f>$U$112*V111</f>
        <v>413.99999999999994</v>
      </c>
      <c r="W112" s="3">
        <f t="shared" ref="W112:X112" si="15">$U$112*W111</f>
        <v>475.20000000000005</v>
      </c>
      <c r="X112" s="3">
        <f t="shared" si="15"/>
        <v>547.20000000000005</v>
      </c>
      <c r="Y112" s="3">
        <v>360</v>
      </c>
      <c r="Z112" s="3">
        <f>$U$112*Z111</f>
        <v>413.99999999999994</v>
      </c>
      <c r="AA112" s="3">
        <f t="shared" ref="AA112:AB112" si="16">$U$112*AA111</f>
        <v>475.20000000000005</v>
      </c>
      <c r="AB112" s="3">
        <f t="shared" si="16"/>
        <v>547.20000000000005</v>
      </c>
      <c r="AI112" s="516"/>
      <c r="AJ112" s="516"/>
      <c r="AK112" s="516"/>
      <c r="AL112" s="516"/>
      <c r="AM112" s="3"/>
      <c r="AN112" s="3"/>
    </row>
    <row r="113" spans="3:40" hidden="1">
      <c r="C113" s="3"/>
      <c r="D113" s="3"/>
      <c r="E113" s="3"/>
      <c r="S113" s="3"/>
      <c r="T113" s="3"/>
      <c r="V113" s="3">
        <f>V112/U112</f>
        <v>1.1499999999999999</v>
      </c>
      <c r="W113" s="3">
        <f>W112/V112</f>
        <v>1.147826086956522</v>
      </c>
      <c r="X113" s="3">
        <f>X112/W112</f>
        <v>1.1515151515151516</v>
      </c>
      <c r="Z113" s="3">
        <f>Z112/Y112</f>
        <v>1.1499999999999999</v>
      </c>
      <c r="AA113" s="3">
        <f>AA112/Z112</f>
        <v>1.147826086956522</v>
      </c>
      <c r="AB113" s="3">
        <f>AB112/AA112</f>
        <v>1.1515151515151516</v>
      </c>
      <c r="AI113" s="516"/>
      <c r="AJ113" s="516"/>
      <c r="AK113" s="516"/>
      <c r="AL113" s="516"/>
      <c r="AM113" s="3"/>
      <c r="AN113" s="3"/>
    </row>
    <row r="114" spans="3:40" hidden="1">
      <c r="C114" s="3"/>
      <c r="D114" s="3"/>
      <c r="E114" s="3"/>
      <c r="S114" s="3"/>
      <c r="T114" s="3"/>
      <c r="AI114" s="516"/>
      <c r="AJ114" s="516"/>
      <c r="AK114" s="516"/>
      <c r="AL114" s="516"/>
      <c r="AM114" s="3"/>
      <c r="AN114" s="3"/>
    </row>
    <row r="115" spans="3:40" hidden="1">
      <c r="C115" s="3"/>
      <c r="D115" s="3"/>
      <c r="E115" s="3"/>
      <c r="S115" s="3"/>
      <c r="T115" s="3"/>
      <c r="W115" s="3">
        <f>W112/U112</f>
        <v>1.32</v>
      </c>
      <c r="X115" s="3">
        <f>X112/U112</f>
        <v>1.52</v>
      </c>
      <c r="AA115" s="3">
        <f>AA112/Y112</f>
        <v>1.32</v>
      </c>
      <c r="AB115" s="3">
        <f>AB112/Y112</f>
        <v>1.52</v>
      </c>
      <c r="AI115" s="516"/>
      <c r="AJ115" s="516"/>
      <c r="AK115" s="516"/>
      <c r="AL115" s="516"/>
      <c r="AM115" s="3"/>
      <c r="AN115" s="3"/>
    </row>
    <row r="116" spans="3:40" hidden="1">
      <c r="C116" s="3"/>
      <c r="D116" s="3"/>
      <c r="E116" s="3"/>
      <c r="S116" s="3"/>
      <c r="T116" s="3"/>
      <c r="AI116" s="516"/>
      <c r="AJ116" s="516"/>
      <c r="AK116" s="516"/>
      <c r="AL116" s="516"/>
      <c r="AM116" s="3"/>
      <c r="AN116" s="3"/>
    </row>
    <row r="117" spans="3:40" hidden="1">
      <c r="C117" s="3"/>
      <c r="D117" s="3"/>
      <c r="E117" s="3"/>
      <c r="S117" s="3"/>
      <c r="T117" s="3"/>
      <c r="AI117" s="516"/>
      <c r="AJ117" s="516"/>
      <c r="AK117" s="516"/>
      <c r="AL117" s="516"/>
      <c r="AM117" s="3"/>
      <c r="AN117" s="3"/>
    </row>
    <row r="118" spans="3:40" hidden="1">
      <c r="C118" s="3"/>
      <c r="D118" s="3"/>
      <c r="E118" s="3"/>
      <c r="S118" s="3"/>
      <c r="T118" s="3"/>
      <c r="AI118" s="516"/>
      <c r="AJ118" s="516"/>
      <c r="AK118" s="516"/>
      <c r="AL118" s="516"/>
      <c r="AM118" s="3"/>
      <c r="AN118" s="3"/>
    </row>
    <row r="119" spans="3:40" hidden="1">
      <c r="C119" s="3"/>
      <c r="D119" s="3"/>
      <c r="E119" s="3"/>
      <c r="S119" s="3"/>
      <c r="T119" s="3"/>
      <c r="AI119" s="516"/>
      <c r="AJ119" s="516"/>
      <c r="AK119" s="516"/>
      <c r="AL119" s="516"/>
      <c r="AM119" s="3"/>
      <c r="AN119" s="3"/>
    </row>
    <row r="120" spans="3:40" hidden="1">
      <c r="C120" s="3"/>
      <c r="D120" s="3"/>
      <c r="E120" s="3"/>
      <c r="O120" s="3">
        <f>J99*O13-O99</f>
        <v>1491008.3310996823</v>
      </c>
      <c r="S120" s="3"/>
      <c r="T120" s="3"/>
      <c r="AI120" s="516"/>
      <c r="AJ120" s="516"/>
      <c r="AK120" s="516"/>
      <c r="AL120" s="516"/>
      <c r="AM120" s="3"/>
      <c r="AN120" s="3"/>
    </row>
    <row r="121" spans="3:40" hidden="1">
      <c r="C121" s="3"/>
      <c r="D121" s="3"/>
      <c r="E121" s="3"/>
      <c r="S121" s="3"/>
      <c r="T121" s="3"/>
      <c r="AI121" s="516"/>
      <c r="AJ121" s="516"/>
      <c r="AK121" s="516"/>
      <c r="AL121" s="516"/>
      <c r="AM121" s="3"/>
      <c r="AN121" s="3"/>
    </row>
    <row r="122" spans="3:40" hidden="1">
      <c r="C122" s="3"/>
      <c r="D122" s="3"/>
      <c r="E122" s="3"/>
      <c r="S122" s="3"/>
      <c r="T122" s="3"/>
      <c r="AI122" s="516"/>
      <c r="AJ122" s="516"/>
      <c r="AK122" s="516"/>
      <c r="AL122" s="516"/>
      <c r="AM122" s="3"/>
      <c r="AN122" s="3"/>
    </row>
    <row r="123" spans="3:40" hidden="1">
      <c r="C123" s="3"/>
      <c r="D123" s="3"/>
      <c r="E123" s="3"/>
      <c r="S123" s="3"/>
      <c r="T123" s="3"/>
      <c r="AI123" s="516"/>
      <c r="AJ123" s="516"/>
      <c r="AK123" s="516"/>
      <c r="AL123" s="516"/>
      <c r="AM123" s="3"/>
      <c r="AN123" s="3"/>
    </row>
    <row r="124" spans="3:40" hidden="1">
      <c r="C124" s="3"/>
      <c r="D124" s="3"/>
      <c r="E124" s="3"/>
      <c r="S124" s="3"/>
      <c r="T124" s="3"/>
      <c r="AI124" s="516"/>
      <c r="AJ124" s="516"/>
      <c r="AK124" s="516"/>
      <c r="AL124" s="516"/>
      <c r="AM124" s="3"/>
      <c r="AN124" s="3"/>
    </row>
    <row r="125" spans="3:40" hidden="1">
      <c r="C125" s="3"/>
      <c r="D125" s="3"/>
      <c r="E125" s="3"/>
      <c r="S125" s="3"/>
      <c r="T125" s="3"/>
      <c r="AI125" s="516"/>
      <c r="AJ125" s="516"/>
      <c r="AK125" s="516"/>
      <c r="AL125" s="516"/>
      <c r="AM125" s="3"/>
      <c r="AN125" s="3"/>
    </row>
    <row r="126" spans="3:40" hidden="1">
      <c r="C126" s="3"/>
      <c r="D126" s="3"/>
      <c r="E126" s="3"/>
      <c r="S126" s="3"/>
      <c r="T126" s="3"/>
      <c r="AI126" s="516"/>
      <c r="AJ126" s="516"/>
      <c r="AK126" s="516"/>
      <c r="AL126" s="516"/>
      <c r="AM126" s="3"/>
      <c r="AN126" s="3"/>
    </row>
    <row r="127" spans="3:40" hidden="1">
      <c r="C127" s="3"/>
      <c r="D127" s="3"/>
      <c r="E127" s="3"/>
      <c r="S127" s="3"/>
      <c r="T127" s="3"/>
      <c r="AI127" s="516"/>
      <c r="AJ127" s="516"/>
      <c r="AK127" s="516"/>
      <c r="AL127" s="516"/>
      <c r="AM127" s="3"/>
      <c r="AN127" s="3"/>
    </row>
    <row r="128" spans="3:40" hidden="1">
      <c r="C128" s="3"/>
      <c r="D128" s="3"/>
      <c r="E128" s="3"/>
      <c r="S128" s="3"/>
      <c r="T128" s="3"/>
      <c r="AI128" s="516"/>
      <c r="AJ128" s="516"/>
      <c r="AK128" s="516"/>
      <c r="AL128" s="516"/>
      <c r="AM128" s="3"/>
      <c r="AN128" s="3"/>
    </row>
    <row r="129" spans="3:40" hidden="1">
      <c r="C129" s="3"/>
      <c r="D129" s="3"/>
      <c r="E129" s="3"/>
      <c r="S129" s="3"/>
      <c r="T129" s="3"/>
      <c r="AI129" s="516"/>
      <c r="AJ129" s="516"/>
      <c r="AK129" s="516"/>
      <c r="AL129" s="516"/>
      <c r="AM129" s="3"/>
      <c r="AN129" s="3"/>
    </row>
    <row r="130" spans="3:40">
      <c r="C130" s="3"/>
      <c r="D130" s="3"/>
      <c r="E130" s="3"/>
      <c r="S130" s="3"/>
      <c r="T130" s="3"/>
      <c r="AI130" s="516"/>
      <c r="AJ130" s="518">
        <f>AJ102*AJ13</f>
        <v>1.2806548365067524E-2</v>
      </c>
      <c r="AK130" s="516"/>
      <c r="AL130" s="517">
        <f>AL102-AL100</f>
        <v>-1.17873561080728E-5</v>
      </c>
      <c r="AM130" s="3"/>
      <c r="AN130" s="3"/>
    </row>
    <row r="131" spans="3:40">
      <c r="C131" s="3"/>
      <c r="D131" s="3"/>
      <c r="E131" s="3"/>
      <c r="S131" s="3"/>
      <c r="T131" s="3"/>
      <c r="AI131" s="516"/>
      <c r="AJ131" s="516"/>
      <c r="AK131" s="516"/>
      <c r="AL131" s="516">
        <f>AL130*AL13</f>
        <v>-2.5764207719542066E-3</v>
      </c>
      <c r="AM131" s="3"/>
      <c r="AN131" s="3"/>
    </row>
    <row r="132" spans="3:40">
      <c r="C132" s="3"/>
      <c r="D132" s="3"/>
      <c r="E132" s="3"/>
      <c r="S132" s="3"/>
      <c r="T132" s="3"/>
      <c r="Y132" s="3" t="s">
        <v>40</v>
      </c>
      <c r="AI132" s="516"/>
      <c r="AJ132" s="516"/>
      <c r="AK132" s="516"/>
      <c r="AL132" s="516"/>
      <c r="AM132" s="3"/>
      <c r="AN132" s="3"/>
    </row>
    <row r="133" spans="3:40">
      <c r="C133" s="3"/>
      <c r="D133" s="3"/>
      <c r="E133" s="3"/>
      <c r="S133" s="3"/>
      <c r="T133" s="3"/>
      <c r="AI133" s="516"/>
      <c r="AJ133" s="516"/>
      <c r="AK133" s="516"/>
      <c r="AL133" s="516"/>
      <c r="AM133" s="3"/>
      <c r="AN133" s="3"/>
    </row>
    <row r="134" spans="3:40">
      <c r="C134" s="3"/>
      <c r="D134" s="3"/>
      <c r="E134" s="3"/>
      <c r="S134" s="3"/>
      <c r="T134" s="3"/>
      <c r="AI134" s="517">
        <f>O98+Q98+Z98+AB98</f>
        <v>404.546565544244</v>
      </c>
      <c r="AJ134" s="517">
        <f>AJ22</f>
        <v>6638.2498797725802</v>
      </c>
      <c r="AK134" s="516"/>
      <c r="AL134" s="516"/>
      <c r="AM134" s="3"/>
      <c r="AN134" s="3"/>
    </row>
    <row r="135" spans="3:40">
      <c r="C135" s="3"/>
      <c r="D135" s="3"/>
      <c r="E135" s="3"/>
      <c r="S135" s="3"/>
      <c r="T135" s="3"/>
      <c r="AI135" s="516"/>
      <c r="AJ135" s="517">
        <f>AJ35+AJ42+AJ53+AJ59</f>
        <v>409.24421999344639</v>
      </c>
      <c r="AK135" s="516"/>
      <c r="AL135" s="516"/>
      <c r="AM135" s="3"/>
      <c r="AN135" s="3"/>
    </row>
    <row r="136" spans="3:40">
      <c r="C136" s="3"/>
      <c r="D136" s="3"/>
      <c r="E136" s="3"/>
      <c r="S136" s="3"/>
      <c r="T136" s="3"/>
      <c r="AI136" s="516"/>
      <c r="AJ136" s="517">
        <f>AJ79</f>
        <v>2.9324999999999997</v>
      </c>
      <c r="AK136" s="516"/>
      <c r="AL136" s="516"/>
      <c r="AM136" s="3"/>
      <c r="AN136" s="3"/>
    </row>
    <row r="137" spans="3:40">
      <c r="C137" s="3"/>
      <c r="D137" s="3"/>
      <c r="E137" s="3"/>
      <c r="S137" s="3"/>
      <c r="T137" s="3"/>
      <c r="AI137" s="516"/>
      <c r="AJ137" s="517">
        <f>AJ134-AJ135-AJ136</f>
        <v>6226.0731597791337</v>
      </c>
      <c r="AK137" s="516"/>
      <c r="AL137" s="516"/>
      <c r="AM137" s="3"/>
      <c r="AN137" s="3"/>
    </row>
    <row r="138" spans="3:40">
      <c r="C138" s="3"/>
      <c r="D138" s="3"/>
      <c r="E138" s="3"/>
      <c r="S138" s="3"/>
      <c r="T138" s="3"/>
      <c r="AI138" s="516"/>
      <c r="AJ138" s="517">
        <f>AJ137+AJ82+AJ83</f>
        <v>6371.5257947791333</v>
      </c>
      <c r="AK138" s="516"/>
      <c r="AL138" s="516"/>
      <c r="AM138" s="3"/>
      <c r="AN138" s="3"/>
    </row>
    <row r="139" spans="3:40">
      <c r="C139" s="3"/>
      <c r="D139" s="3"/>
      <c r="E139" s="3"/>
      <c r="S139" s="3"/>
      <c r="T139" s="3"/>
      <c r="AI139" s="516"/>
      <c r="AJ139" s="516">
        <f>AJ138*1/100</f>
        <v>63.715257947791336</v>
      </c>
      <c r="AK139" s="516"/>
      <c r="AL139" s="516"/>
      <c r="AM139" s="3"/>
      <c r="AN139" s="3"/>
    </row>
    <row r="140" spans="3:40">
      <c r="C140" s="3"/>
      <c r="D140" s="3"/>
      <c r="E140" s="3"/>
      <c r="S140" s="3"/>
      <c r="T140" s="3"/>
      <c r="AI140" s="516"/>
      <c r="AJ140" s="516"/>
      <c r="AK140" s="516"/>
      <c r="AL140" s="516"/>
      <c r="AM140" s="3"/>
      <c r="AN140" s="3"/>
    </row>
    <row r="141" spans="3:40">
      <c r="C141" s="3"/>
      <c r="D141" s="3"/>
      <c r="E141" s="3"/>
      <c r="S141" s="3"/>
      <c r="T141" s="3"/>
      <c r="AI141" s="3"/>
      <c r="AJ141" s="3"/>
      <c r="AK141" s="3"/>
      <c r="AL141" s="3"/>
      <c r="AM141" s="3"/>
      <c r="AN141" s="3"/>
    </row>
    <row r="142" spans="3:40">
      <c r="C142" s="3"/>
      <c r="D142" s="3"/>
      <c r="E142" s="3"/>
      <c r="S142" s="3"/>
      <c r="T142" s="3"/>
      <c r="AI142" s="3"/>
      <c r="AJ142" s="3"/>
      <c r="AK142" s="3"/>
      <c r="AL142" s="3"/>
      <c r="AM142" s="3"/>
      <c r="AN142" s="3"/>
    </row>
    <row r="143" spans="3:40">
      <c r="C143" s="3"/>
      <c r="D143" s="3"/>
      <c r="E143" s="3"/>
      <c r="S143" s="3"/>
      <c r="T143" s="3"/>
      <c r="AI143" s="3"/>
      <c r="AJ143" s="3"/>
      <c r="AK143" s="3"/>
      <c r="AL143" s="3"/>
      <c r="AM143" s="3"/>
      <c r="AN143" s="3"/>
    </row>
    <row r="144" spans="3:40">
      <c r="C144" s="3"/>
      <c r="D144" s="3"/>
      <c r="E144" s="3"/>
      <c r="S144" s="3"/>
      <c r="T144" s="3"/>
      <c r="AI144" s="3"/>
      <c r="AJ144" s="3"/>
      <c r="AK144" s="3"/>
      <c r="AL144" s="3"/>
      <c r="AM144" s="3"/>
      <c r="AN144" s="3"/>
    </row>
    <row r="145" spans="3:40">
      <c r="C145" s="3"/>
      <c r="D145" s="3"/>
      <c r="E145" s="3"/>
      <c r="S145" s="3"/>
      <c r="T145" s="3"/>
      <c r="AI145" s="3"/>
      <c r="AJ145" s="3"/>
      <c r="AK145" s="3"/>
      <c r="AL145" s="3"/>
      <c r="AM145" s="3"/>
      <c r="AN145" s="3"/>
    </row>
    <row r="146" spans="3:40">
      <c r="C146" s="3"/>
      <c r="D146" s="3"/>
      <c r="E146" s="3"/>
      <c r="S146" s="3"/>
      <c r="T146" s="3"/>
      <c r="AI146" s="3"/>
      <c r="AJ146" s="3"/>
      <c r="AK146" s="3"/>
      <c r="AL146" s="3"/>
      <c r="AM146" s="3"/>
      <c r="AN146" s="3"/>
    </row>
    <row r="147" spans="3:40">
      <c r="C147" s="3"/>
      <c r="D147" s="3"/>
      <c r="E147" s="3"/>
      <c r="S147" s="3"/>
      <c r="T147" s="3"/>
      <c r="AI147" s="3"/>
      <c r="AJ147" s="3"/>
      <c r="AK147" s="3"/>
      <c r="AL147" s="3"/>
      <c r="AM147" s="3"/>
      <c r="AN147" s="3"/>
    </row>
    <row r="148" spans="3:40">
      <c r="C148" s="3"/>
      <c r="D148" s="3"/>
      <c r="E148" s="3"/>
      <c r="S148" s="3"/>
      <c r="T148" s="3"/>
      <c r="AI148" s="3"/>
      <c r="AJ148" s="3"/>
      <c r="AK148" s="3"/>
      <c r="AL148" s="3"/>
      <c r="AM148" s="3"/>
      <c r="AN148" s="3"/>
    </row>
    <row r="149" spans="3:40">
      <c r="C149" s="3"/>
      <c r="D149" s="3"/>
      <c r="E149" s="3"/>
      <c r="S149" s="3"/>
      <c r="T149" s="3"/>
      <c r="AI149" s="3"/>
      <c r="AJ149" s="3"/>
      <c r="AK149" s="3"/>
      <c r="AL149" s="3"/>
      <c r="AM149" s="3"/>
      <c r="AN149" s="3"/>
    </row>
    <row r="150" spans="3:40">
      <c r="C150" s="3"/>
      <c r="D150" s="3"/>
      <c r="E150" s="3"/>
      <c r="S150" s="3"/>
      <c r="T150" s="3"/>
      <c r="AI150" s="3"/>
      <c r="AJ150" s="3"/>
      <c r="AK150" s="3"/>
      <c r="AL150" s="3"/>
      <c r="AM150" s="3"/>
      <c r="AN150" s="3"/>
    </row>
    <row r="151" spans="3:40">
      <c r="C151" s="3"/>
      <c r="D151" s="3"/>
      <c r="E151" s="3"/>
      <c r="S151" s="3"/>
      <c r="T151" s="3"/>
      <c r="AI151" s="3"/>
      <c r="AJ151" s="3"/>
      <c r="AK151" s="3"/>
      <c r="AL151" s="3"/>
      <c r="AM151" s="3"/>
      <c r="AN151" s="3"/>
    </row>
    <row r="152" spans="3:40">
      <c r="C152" s="3"/>
      <c r="D152" s="3"/>
      <c r="E152" s="3"/>
      <c r="S152" s="3"/>
      <c r="T152" s="3"/>
      <c r="AI152" s="3"/>
      <c r="AJ152" s="3"/>
      <c r="AK152" s="3"/>
      <c r="AL152" s="3"/>
      <c r="AM152" s="3"/>
      <c r="AN152" s="3"/>
    </row>
    <row r="153" spans="3:40">
      <c r="C153" s="3"/>
      <c r="D153" s="3"/>
      <c r="E153" s="3"/>
      <c r="S153" s="3"/>
      <c r="T153" s="3"/>
      <c r="AI153" s="3"/>
      <c r="AJ153" s="3"/>
      <c r="AK153" s="3"/>
      <c r="AL153" s="3"/>
      <c r="AM153" s="3"/>
      <c r="AN153" s="3"/>
    </row>
    <row r="154" spans="3:40">
      <c r="C154" s="3"/>
      <c r="D154" s="3"/>
      <c r="E154" s="3"/>
      <c r="S154" s="3"/>
      <c r="T154" s="3"/>
      <c r="AI154" s="3"/>
      <c r="AJ154" s="3"/>
      <c r="AK154" s="3"/>
      <c r="AL154" s="3"/>
      <c r="AM154" s="3"/>
      <c r="AN154" s="3"/>
    </row>
    <row r="155" spans="3:40">
      <c r="C155" s="3"/>
      <c r="D155" s="3"/>
      <c r="E155" s="3"/>
      <c r="S155" s="3"/>
      <c r="T155" s="3"/>
      <c r="AI155" s="3"/>
      <c r="AJ155" s="3"/>
      <c r="AK155" s="3"/>
      <c r="AL155" s="3"/>
      <c r="AM155" s="3"/>
      <c r="AN155" s="3"/>
    </row>
    <row r="156" spans="3:40">
      <c r="C156" s="3"/>
      <c r="D156" s="3"/>
      <c r="E156" s="3"/>
      <c r="S156" s="3"/>
      <c r="T156" s="3"/>
      <c r="AI156" s="3"/>
      <c r="AJ156" s="3"/>
      <c r="AK156" s="3"/>
      <c r="AL156" s="3"/>
      <c r="AM156" s="3"/>
      <c r="AN156" s="3"/>
    </row>
    <row r="157" spans="3:40">
      <c r="C157" s="3"/>
      <c r="D157" s="3"/>
      <c r="E157" s="3"/>
      <c r="S157" s="3"/>
      <c r="T157" s="3"/>
      <c r="AI157" s="3"/>
      <c r="AJ157" s="3"/>
      <c r="AK157" s="3"/>
      <c r="AL157" s="3"/>
      <c r="AM157" s="3"/>
      <c r="AN157" s="3"/>
    </row>
    <row r="158" spans="3:40">
      <c r="C158" s="3"/>
      <c r="D158" s="3"/>
      <c r="E158" s="3"/>
      <c r="S158" s="3"/>
      <c r="T158" s="3"/>
      <c r="AI158" s="3"/>
      <c r="AJ158" s="3"/>
      <c r="AK158" s="3"/>
      <c r="AL158" s="3"/>
      <c r="AM158" s="3"/>
      <c r="AN158" s="3"/>
    </row>
    <row r="159" spans="3:40">
      <c r="C159" s="3"/>
      <c r="D159" s="3"/>
      <c r="E159" s="3"/>
      <c r="S159" s="3"/>
      <c r="T159" s="3"/>
      <c r="AI159" s="3"/>
      <c r="AJ159" s="3"/>
      <c r="AK159" s="3"/>
      <c r="AL159" s="3"/>
      <c r="AM159" s="3"/>
      <c r="AN159" s="3"/>
    </row>
    <row r="160" spans="3:40">
      <c r="C160" s="3"/>
      <c r="D160" s="3"/>
      <c r="E160" s="3"/>
      <c r="S160" s="3"/>
      <c r="T160" s="3"/>
      <c r="AI160" s="3"/>
      <c r="AJ160" s="3"/>
      <c r="AK160" s="3"/>
      <c r="AL160" s="3"/>
      <c r="AM160" s="3"/>
      <c r="AN160" s="3"/>
    </row>
    <row r="161" spans="3:40">
      <c r="C161" s="3"/>
      <c r="D161" s="3"/>
      <c r="E161" s="3"/>
      <c r="S161" s="3"/>
      <c r="T161" s="3"/>
      <c r="AI161" s="3"/>
      <c r="AJ161" s="3"/>
      <c r="AK161" s="3"/>
      <c r="AL161" s="3"/>
      <c r="AM161" s="3"/>
      <c r="AN161" s="3"/>
    </row>
    <row r="162" spans="3:40">
      <c r="C162" s="3"/>
      <c r="D162" s="3"/>
      <c r="E162" s="3"/>
      <c r="S162" s="3"/>
      <c r="T162" s="3"/>
      <c r="AI162" s="3"/>
      <c r="AJ162" s="3"/>
      <c r="AK162" s="3"/>
      <c r="AL162" s="3"/>
      <c r="AM162" s="3"/>
      <c r="AN162" s="3"/>
    </row>
    <row r="163" spans="3:40">
      <c r="C163" s="3"/>
      <c r="D163" s="3"/>
      <c r="E163" s="3"/>
      <c r="S163" s="3"/>
      <c r="T163" s="3"/>
      <c r="AI163" s="3"/>
      <c r="AJ163" s="3"/>
      <c r="AK163" s="3"/>
      <c r="AL163" s="3"/>
      <c r="AM163" s="3"/>
      <c r="AN163" s="3"/>
    </row>
    <row r="164" spans="3:40">
      <c r="C164" s="3"/>
      <c r="D164" s="3"/>
      <c r="E164" s="3"/>
      <c r="S164" s="3"/>
      <c r="T164" s="3"/>
      <c r="AI164" s="3"/>
      <c r="AJ164" s="3"/>
      <c r="AK164" s="3"/>
      <c r="AL164" s="3"/>
      <c r="AM164" s="3"/>
      <c r="AN164" s="3"/>
    </row>
    <row r="165" spans="3:40">
      <c r="C165" s="3"/>
      <c r="D165" s="3"/>
      <c r="E165" s="3"/>
      <c r="S165" s="3"/>
      <c r="T165" s="3"/>
      <c r="AI165" s="3"/>
      <c r="AJ165" s="3"/>
      <c r="AK165" s="3"/>
      <c r="AL165" s="3"/>
      <c r="AM165" s="3"/>
      <c r="AN165" s="3"/>
    </row>
    <row r="166" spans="3:40">
      <c r="C166" s="3"/>
      <c r="D166" s="3"/>
      <c r="E166" s="3"/>
      <c r="S166" s="3"/>
      <c r="T166" s="3"/>
      <c r="AI166" s="3"/>
      <c r="AJ166" s="3"/>
      <c r="AK166" s="3"/>
      <c r="AL166" s="3"/>
      <c r="AM166" s="3"/>
      <c r="AN166" s="3"/>
    </row>
    <row r="167" spans="3:40">
      <c r="C167" s="3"/>
      <c r="D167" s="3"/>
      <c r="E167" s="3"/>
      <c r="S167" s="3"/>
      <c r="T167" s="3"/>
      <c r="AI167" s="3"/>
      <c r="AJ167" s="3"/>
      <c r="AK167" s="3"/>
      <c r="AL167" s="3"/>
      <c r="AM167" s="3"/>
      <c r="AN167" s="3"/>
    </row>
    <row r="168" spans="3:40">
      <c r="C168" s="3"/>
      <c r="D168" s="3"/>
      <c r="E168" s="3"/>
      <c r="S168" s="3"/>
      <c r="T168" s="3"/>
      <c r="AI168" s="3"/>
      <c r="AJ168" s="3"/>
      <c r="AK168" s="3"/>
      <c r="AL168" s="3"/>
      <c r="AM168" s="3"/>
      <c r="AN168" s="3"/>
    </row>
    <row r="169" spans="3:40">
      <c r="C169" s="3"/>
      <c r="D169" s="3"/>
      <c r="E169" s="3"/>
      <c r="S169" s="3"/>
      <c r="T169" s="3"/>
      <c r="AI169" s="3"/>
      <c r="AJ169" s="3"/>
      <c r="AK169" s="3"/>
      <c r="AL169" s="3"/>
      <c r="AM169" s="3"/>
      <c r="AN169" s="3"/>
    </row>
    <row r="170" spans="3:40">
      <c r="C170" s="3"/>
      <c r="D170" s="3"/>
      <c r="E170" s="3"/>
      <c r="S170" s="3"/>
      <c r="T170" s="3"/>
      <c r="AI170" s="3"/>
      <c r="AJ170" s="3"/>
      <c r="AK170" s="3"/>
      <c r="AL170" s="3"/>
      <c r="AM170" s="3"/>
      <c r="AN170" s="3"/>
    </row>
    <row r="171" spans="3:40">
      <c r="C171" s="3"/>
      <c r="D171" s="3"/>
      <c r="E171" s="3"/>
      <c r="S171" s="3"/>
      <c r="T171" s="3"/>
      <c r="AI171" s="3"/>
      <c r="AJ171" s="3"/>
      <c r="AK171" s="3"/>
      <c r="AL171" s="3"/>
      <c r="AM171" s="3"/>
      <c r="AN171" s="3"/>
    </row>
    <row r="172" spans="3:40">
      <c r="C172" s="3"/>
      <c r="D172" s="3"/>
      <c r="E172" s="3"/>
      <c r="S172" s="3"/>
      <c r="T172" s="3"/>
      <c r="AI172" s="3"/>
      <c r="AJ172" s="3"/>
      <c r="AK172" s="3"/>
      <c r="AL172" s="3"/>
      <c r="AM172" s="3"/>
      <c r="AN172" s="3"/>
    </row>
    <row r="173" spans="3:40">
      <c r="C173" s="3"/>
      <c r="D173" s="3"/>
      <c r="E173" s="3"/>
      <c r="S173" s="3"/>
      <c r="T173" s="3"/>
      <c r="AI173" s="3"/>
      <c r="AJ173" s="3"/>
      <c r="AK173" s="3"/>
      <c r="AL173" s="3"/>
      <c r="AM173" s="3"/>
      <c r="AN173" s="3"/>
    </row>
    <row r="174" spans="3:40">
      <c r="C174" s="3"/>
      <c r="D174" s="3"/>
      <c r="E174" s="3"/>
      <c r="S174" s="3"/>
      <c r="T174" s="3"/>
      <c r="AI174" s="3"/>
      <c r="AJ174" s="3"/>
      <c r="AK174" s="3"/>
      <c r="AL174" s="3"/>
      <c r="AM174" s="3"/>
      <c r="AN174" s="3"/>
    </row>
    <row r="175" spans="3:40">
      <c r="C175" s="3"/>
      <c r="D175" s="3"/>
      <c r="E175" s="3"/>
      <c r="S175" s="3"/>
      <c r="T175" s="3"/>
      <c r="AI175" s="3"/>
      <c r="AJ175" s="3"/>
      <c r="AK175" s="3"/>
      <c r="AL175" s="3"/>
      <c r="AM175" s="3"/>
      <c r="AN175" s="3"/>
    </row>
    <row r="176" spans="3:40">
      <c r="C176" s="3"/>
      <c r="D176" s="3"/>
      <c r="E176" s="3"/>
      <c r="S176" s="3"/>
      <c r="T176" s="3"/>
      <c r="AI176" s="3"/>
      <c r="AJ176" s="3"/>
      <c r="AK176" s="3"/>
      <c r="AL176" s="3"/>
      <c r="AM176" s="3"/>
      <c r="AN176" s="3"/>
    </row>
    <row r="177" spans="3:40">
      <c r="C177" s="3"/>
      <c r="D177" s="3"/>
      <c r="E177" s="3"/>
      <c r="S177" s="3"/>
      <c r="T177" s="3"/>
      <c r="AI177" s="3"/>
      <c r="AJ177" s="3"/>
      <c r="AK177" s="3"/>
      <c r="AL177" s="3"/>
      <c r="AM177" s="3"/>
      <c r="AN177" s="3"/>
    </row>
    <row r="178" spans="3:40">
      <c r="C178" s="3"/>
      <c r="D178" s="3"/>
      <c r="E178" s="3"/>
      <c r="S178" s="3"/>
      <c r="T178" s="3"/>
      <c r="AI178" s="3"/>
      <c r="AJ178" s="3"/>
      <c r="AK178" s="3"/>
      <c r="AL178" s="3"/>
      <c r="AM178" s="3"/>
      <c r="AN178" s="3"/>
    </row>
    <row r="179" spans="3:40">
      <c r="C179" s="3"/>
      <c r="D179" s="3"/>
      <c r="E179" s="3"/>
      <c r="S179" s="3"/>
      <c r="T179" s="3"/>
      <c r="AI179" s="3"/>
      <c r="AJ179" s="3"/>
      <c r="AK179" s="3"/>
      <c r="AL179" s="3"/>
      <c r="AM179" s="3"/>
      <c r="AN179" s="3"/>
    </row>
    <row r="180" spans="3:40">
      <c r="C180" s="3"/>
      <c r="D180" s="3"/>
      <c r="E180" s="3"/>
      <c r="S180" s="3"/>
      <c r="T180" s="3"/>
      <c r="AI180" s="3"/>
      <c r="AJ180" s="3"/>
      <c r="AK180" s="3"/>
      <c r="AL180" s="3"/>
      <c r="AM180" s="3"/>
      <c r="AN180" s="3"/>
    </row>
    <row r="181" spans="3:40">
      <c r="C181" s="3"/>
      <c r="D181" s="3"/>
      <c r="E181" s="3"/>
      <c r="S181" s="3"/>
      <c r="T181" s="3"/>
      <c r="AI181" s="3"/>
      <c r="AJ181" s="3"/>
      <c r="AK181" s="3"/>
      <c r="AL181" s="3"/>
      <c r="AM181" s="3"/>
      <c r="AN181" s="3"/>
    </row>
    <row r="182" spans="3:40">
      <c r="C182" s="3"/>
      <c r="D182" s="3"/>
      <c r="E182" s="3"/>
      <c r="S182" s="3"/>
      <c r="T182" s="3"/>
      <c r="AI182" s="3"/>
      <c r="AJ182" s="3"/>
      <c r="AK182" s="3"/>
      <c r="AL182" s="3"/>
      <c r="AM182" s="3"/>
      <c r="AN182" s="3"/>
    </row>
    <row r="183" spans="3:40">
      <c r="C183" s="3"/>
      <c r="D183" s="3"/>
      <c r="E183" s="3"/>
      <c r="S183" s="3"/>
      <c r="T183" s="3"/>
      <c r="AI183" s="3"/>
      <c r="AJ183" s="3"/>
      <c r="AK183" s="3"/>
      <c r="AL183" s="3"/>
      <c r="AM183" s="3"/>
      <c r="AN183" s="3"/>
    </row>
    <row r="184" spans="3:40">
      <c r="C184" s="3"/>
      <c r="D184" s="3"/>
      <c r="E184" s="3"/>
      <c r="S184" s="3"/>
      <c r="T184" s="3"/>
      <c r="AI184" s="3"/>
      <c r="AJ184" s="3"/>
      <c r="AK184" s="3"/>
      <c r="AL184" s="3"/>
      <c r="AM184" s="3"/>
      <c r="AN184" s="3"/>
    </row>
    <row r="185" spans="3:40">
      <c r="C185" s="3"/>
      <c r="D185" s="3"/>
      <c r="E185" s="3"/>
      <c r="S185" s="3"/>
      <c r="T185" s="3"/>
      <c r="AI185" s="3"/>
      <c r="AJ185" s="3"/>
      <c r="AK185" s="3"/>
      <c r="AL185" s="3"/>
      <c r="AM185" s="3"/>
      <c r="AN185" s="3"/>
    </row>
    <row r="186" spans="3:40">
      <c r="C186" s="3"/>
      <c r="D186" s="3"/>
      <c r="E186" s="3"/>
      <c r="S186" s="3"/>
      <c r="T186" s="3"/>
      <c r="AI186" s="3"/>
      <c r="AJ186" s="3"/>
      <c r="AK186" s="3"/>
      <c r="AL186" s="3"/>
      <c r="AM186" s="3"/>
      <c r="AN186" s="3"/>
    </row>
    <row r="187" spans="3:40">
      <c r="C187" s="3"/>
      <c r="D187" s="3"/>
      <c r="E187" s="3"/>
      <c r="S187" s="3"/>
      <c r="T187" s="3"/>
      <c r="AI187" s="3"/>
      <c r="AJ187" s="3"/>
      <c r="AK187" s="3"/>
      <c r="AL187" s="3"/>
      <c r="AM187" s="3"/>
      <c r="AN187" s="3"/>
    </row>
    <row r="188" spans="3:40">
      <c r="C188" s="3"/>
      <c r="D188" s="3"/>
      <c r="E188" s="3"/>
      <c r="S188" s="3"/>
      <c r="T188" s="3"/>
      <c r="AI188" s="3"/>
      <c r="AJ188" s="3"/>
      <c r="AK188" s="3"/>
      <c r="AL188" s="3"/>
      <c r="AM188" s="3"/>
      <c r="AN188" s="3"/>
    </row>
    <row r="189" spans="3:40">
      <c r="C189" s="3"/>
      <c r="D189" s="3"/>
      <c r="E189" s="3"/>
      <c r="S189" s="3"/>
      <c r="T189" s="3"/>
      <c r="AI189" s="3"/>
      <c r="AJ189" s="3"/>
      <c r="AK189" s="3"/>
      <c r="AL189" s="3"/>
      <c r="AM189" s="3"/>
      <c r="AN189" s="3"/>
    </row>
    <row r="190" spans="3:40">
      <c r="C190" s="3"/>
      <c r="D190" s="3"/>
      <c r="E190" s="3"/>
      <c r="S190" s="3"/>
      <c r="T190" s="3"/>
      <c r="AI190" s="3"/>
      <c r="AJ190" s="3"/>
      <c r="AK190" s="3"/>
      <c r="AL190" s="3"/>
      <c r="AM190" s="3"/>
      <c r="AN190" s="3"/>
    </row>
    <row r="191" spans="3:40">
      <c r="C191" s="3"/>
      <c r="D191" s="3"/>
      <c r="E191" s="3"/>
      <c r="S191" s="3"/>
      <c r="T191" s="3"/>
      <c r="AI191" s="3"/>
      <c r="AJ191" s="3"/>
      <c r="AK191" s="3"/>
      <c r="AL191" s="3"/>
      <c r="AM191" s="3"/>
      <c r="AN191" s="3"/>
    </row>
    <row r="192" spans="3:40">
      <c r="C192" s="3"/>
      <c r="D192" s="3"/>
      <c r="E192" s="3"/>
      <c r="S192" s="3"/>
      <c r="T192" s="3"/>
      <c r="AI192" s="3"/>
      <c r="AJ192" s="3"/>
      <c r="AK192" s="3"/>
      <c r="AL192" s="3"/>
      <c r="AM192" s="3"/>
      <c r="AN192" s="3"/>
    </row>
    <row r="193" spans="3:40">
      <c r="C193" s="3"/>
      <c r="D193" s="3"/>
      <c r="E193" s="3"/>
      <c r="S193" s="3"/>
      <c r="T193" s="3"/>
      <c r="AI193" s="3"/>
      <c r="AJ193" s="3"/>
      <c r="AK193" s="3"/>
      <c r="AL193" s="3"/>
      <c r="AM193" s="3"/>
      <c r="AN193" s="3"/>
    </row>
    <row r="194" spans="3:40">
      <c r="C194" s="3"/>
      <c r="D194" s="3"/>
      <c r="E194" s="3"/>
      <c r="S194" s="3"/>
      <c r="T194" s="3"/>
      <c r="AI194" s="3"/>
      <c r="AJ194" s="3"/>
      <c r="AK194" s="3"/>
      <c r="AL194" s="3"/>
      <c r="AM194" s="3"/>
      <c r="AN194" s="3"/>
    </row>
    <row r="195" spans="3:40">
      <c r="C195" s="3"/>
      <c r="D195" s="3"/>
      <c r="E195" s="3"/>
      <c r="S195" s="3"/>
      <c r="T195" s="3"/>
      <c r="AI195" s="3"/>
      <c r="AJ195" s="3"/>
      <c r="AK195" s="3"/>
      <c r="AL195" s="3"/>
      <c r="AM195" s="3"/>
      <c r="AN195" s="3"/>
    </row>
    <row r="196" spans="3:40">
      <c r="C196" s="3"/>
      <c r="D196" s="3"/>
      <c r="E196" s="3"/>
      <c r="S196" s="3"/>
      <c r="T196" s="3"/>
      <c r="AI196" s="3"/>
      <c r="AJ196" s="3"/>
      <c r="AK196" s="3"/>
      <c r="AL196" s="3"/>
      <c r="AM196" s="3"/>
      <c r="AN196" s="3"/>
    </row>
    <row r="197" spans="3:40">
      <c r="C197" s="3"/>
      <c r="D197" s="3"/>
      <c r="E197" s="3"/>
      <c r="S197" s="3"/>
      <c r="T197" s="3"/>
      <c r="AI197" s="3"/>
      <c r="AJ197" s="3"/>
      <c r="AK197" s="3"/>
      <c r="AL197" s="3"/>
      <c r="AM197" s="3"/>
      <c r="AN197" s="3"/>
    </row>
    <row r="198" spans="3:40">
      <c r="C198" s="3"/>
      <c r="D198" s="3"/>
      <c r="E198" s="3"/>
      <c r="S198" s="3"/>
      <c r="T198" s="3"/>
      <c r="AI198" s="3"/>
      <c r="AJ198" s="3"/>
      <c r="AK198" s="3"/>
      <c r="AL198" s="3"/>
      <c r="AM198" s="3"/>
      <c r="AN198" s="3"/>
    </row>
    <row r="199" spans="3:40">
      <c r="C199" s="3"/>
      <c r="D199" s="3"/>
      <c r="E199" s="3"/>
      <c r="S199" s="3"/>
      <c r="T199" s="3"/>
      <c r="AI199" s="3"/>
      <c r="AJ199" s="3"/>
      <c r="AK199" s="3"/>
      <c r="AL199" s="3"/>
      <c r="AM199" s="3"/>
      <c r="AN199" s="3"/>
    </row>
    <row r="200" spans="3:40">
      <c r="C200" s="3"/>
      <c r="D200" s="3"/>
      <c r="E200" s="3"/>
      <c r="S200" s="3"/>
      <c r="T200" s="3"/>
      <c r="AI200" s="3"/>
      <c r="AJ200" s="3"/>
      <c r="AK200" s="3"/>
      <c r="AL200" s="3"/>
      <c r="AM200" s="3"/>
      <c r="AN200" s="3"/>
    </row>
    <row r="201" spans="3:40">
      <c r="C201" s="3"/>
      <c r="D201" s="3"/>
      <c r="E201" s="3"/>
      <c r="S201" s="3"/>
      <c r="T201" s="3"/>
      <c r="AI201" s="3"/>
      <c r="AJ201" s="3"/>
      <c r="AK201" s="3"/>
      <c r="AL201" s="3"/>
      <c r="AM201" s="3"/>
      <c r="AN201" s="3"/>
    </row>
    <row r="202" spans="3:40">
      <c r="C202" s="3"/>
      <c r="D202" s="3"/>
      <c r="E202" s="3"/>
      <c r="S202" s="3"/>
      <c r="T202" s="3"/>
      <c r="AI202" s="3"/>
      <c r="AJ202" s="3"/>
      <c r="AK202" s="3"/>
      <c r="AL202" s="3"/>
      <c r="AM202" s="3"/>
      <c r="AN202" s="3"/>
    </row>
    <row r="203" spans="3:40">
      <c r="C203" s="3"/>
      <c r="D203" s="3"/>
      <c r="E203" s="3"/>
      <c r="S203" s="3"/>
      <c r="T203" s="3"/>
      <c r="AI203" s="3"/>
      <c r="AJ203" s="3"/>
      <c r="AK203" s="3"/>
      <c r="AL203" s="3"/>
      <c r="AM203" s="3"/>
      <c r="AN203" s="3"/>
    </row>
    <row r="204" spans="3:40">
      <c r="C204" s="3"/>
      <c r="D204" s="3"/>
      <c r="E204" s="3"/>
      <c r="S204" s="3"/>
      <c r="T204" s="3"/>
      <c r="AI204" s="3"/>
      <c r="AJ204" s="3"/>
      <c r="AK204" s="3"/>
      <c r="AL204" s="3"/>
      <c r="AM204" s="3"/>
      <c r="AN204" s="3"/>
    </row>
    <row r="205" spans="3:40">
      <c r="C205" s="3"/>
      <c r="D205" s="3"/>
      <c r="E205" s="3"/>
      <c r="S205" s="3"/>
      <c r="T205" s="3"/>
      <c r="AI205" s="3"/>
      <c r="AJ205" s="3"/>
      <c r="AK205" s="3"/>
      <c r="AL205" s="3"/>
      <c r="AM205" s="3"/>
      <c r="AN205" s="3"/>
    </row>
    <row r="206" spans="3:40">
      <c r="C206" s="3"/>
      <c r="D206" s="3"/>
      <c r="E206" s="3"/>
      <c r="S206" s="3"/>
      <c r="T206" s="3"/>
      <c r="AI206" s="3"/>
      <c r="AJ206" s="3"/>
      <c r="AK206" s="3"/>
      <c r="AL206" s="3"/>
      <c r="AM206" s="3"/>
      <c r="AN206" s="3"/>
    </row>
    <row r="207" spans="3:40">
      <c r="C207" s="3"/>
      <c r="D207" s="3"/>
      <c r="E207" s="3"/>
      <c r="S207" s="3"/>
      <c r="T207" s="3"/>
      <c r="AI207" s="3"/>
      <c r="AJ207" s="3"/>
      <c r="AK207" s="3"/>
      <c r="AL207" s="3"/>
      <c r="AM207" s="3"/>
      <c r="AN207" s="3"/>
    </row>
    <row r="208" spans="3:40">
      <c r="C208" s="3"/>
      <c r="D208" s="3"/>
      <c r="E208" s="3"/>
      <c r="S208" s="3"/>
      <c r="T208" s="3"/>
      <c r="AI208" s="3"/>
      <c r="AJ208" s="3"/>
      <c r="AK208" s="3"/>
      <c r="AL208" s="3"/>
      <c r="AM208" s="3"/>
      <c r="AN208" s="3"/>
    </row>
    <row r="209" spans="3:40">
      <c r="C209" s="3"/>
      <c r="D209" s="3"/>
      <c r="E209" s="3"/>
      <c r="S209" s="3"/>
      <c r="T209" s="3"/>
      <c r="AI209" s="3"/>
      <c r="AJ209" s="3"/>
      <c r="AK209" s="3"/>
      <c r="AL209" s="3"/>
      <c r="AM209" s="3"/>
      <c r="AN209" s="3"/>
    </row>
    <row r="210" spans="3:40">
      <c r="C210" s="3"/>
      <c r="D210" s="3"/>
      <c r="E210" s="3"/>
      <c r="S210" s="3"/>
      <c r="T210" s="3"/>
      <c r="AI210" s="3"/>
      <c r="AJ210" s="3"/>
      <c r="AK210" s="3"/>
      <c r="AL210" s="3"/>
      <c r="AM210" s="3"/>
      <c r="AN210" s="3"/>
    </row>
    <row r="211" spans="3:40">
      <c r="C211" s="3"/>
      <c r="D211" s="3"/>
      <c r="E211" s="3"/>
      <c r="S211" s="3"/>
      <c r="T211" s="3"/>
      <c r="AI211" s="3"/>
      <c r="AJ211" s="3"/>
      <c r="AK211" s="3"/>
      <c r="AL211" s="3"/>
      <c r="AM211" s="3"/>
      <c r="AN211" s="3"/>
    </row>
    <row r="212" spans="3:40">
      <c r="C212" s="3"/>
      <c r="D212" s="3"/>
      <c r="E212" s="3"/>
      <c r="S212" s="3"/>
      <c r="T212" s="3"/>
      <c r="AI212" s="3"/>
      <c r="AJ212" s="3"/>
      <c r="AK212" s="3"/>
      <c r="AL212" s="3"/>
      <c r="AM212" s="3"/>
      <c r="AN212" s="3"/>
    </row>
    <row r="213" spans="3:40">
      <c r="C213" s="3"/>
      <c r="D213" s="3"/>
      <c r="E213" s="3"/>
      <c r="S213" s="3"/>
      <c r="T213" s="3"/>
      <c r="AI213" s="3"/>
      <c r="AJ213" s="3"/>
      <c r="AK213" s="3"/>
      <c r="AL213" s="3"/>
      <c r="AM213" s="3"/>
      <c r="AN213" s="3"/>
    </row>
    <row r="214" spans="3:40">
      <c r="C214" s="3"/>
      <c r="D214" s="3"/>
      <c r="E214" s="3"/>
      <c r="S214" s="3"/>
      <c r="T214" s="3"/>
      <c r="AI214" s="3"/>
      <c r="AJ214" s="3"/>
      <c r="AK214" s="3"/>
      <c r="AL214" s="3"/>
      <c r="AM214" s="3"/>
      <c r="AN214" s="3"/>
    </row>
    <row r="215" spans="3:40">
      <c r="C215" s="3"/>
      <c r="D215" s="3"/>
      <c r="E215" s="3"/>
      <c r="S215" s="3"/>
      <c r="T215" s="3"/>
      <c r="AI215" s="3"/>
      <c r="AJ215" s="3"/>
      <c r="AK215" s="3"/>
      <c r="AL215" s="3"/>
      <c r="AM215" s="3"/>
      <c r="AN215" s="3"/>
    </row>
    <row r="216" spans="3:40">
      <c r="C216" s="3"/>
      <c r="D216" s="3"/>
      <c r="E216" s="3"/>
      <c r="S216" s="3"/>
      <c r="T216" s="3"/>
      <c r="AI216" s="3"/>
      <c r="AJ216" s="3"/>
      <c r="AK216" s="3"/>
      <c r="AL216" s="3"/>
      <c r="AM216" s="3"/>
      <c r="AN216" s="3"/>
    </row>
    <row r="217" spans="3:40">
      <c r="C217" s="3"/>
      <c r="D217" s="3"/>
      <c r="E217" s="3"/>
      <c r="S217" s="3"/>
      <c r="T217" s="3"/>
      <c r="AI217" s="3"/>
      <c r="AJ217" s="3"/>
      <c r="AK217" s="3"/>
      <c r="AL217" s="3"/>
      <c r="AM217" s="3"/>
      <c r="AN217" s="3"/>
    </row>
    <row r="218" spans="3:40">
      <c r="C218" s="3"/>
      <c r="D218" s="3"/>
      <c r="E218" s="3"/>
      <c r="S218" s="3"/>
      <c r="T218" s="3"/>
      <c r="AI218" s="3"/>
      <c r="AJ218" s="3"/>
      <c r="AK218" s="3"/>
      <c r="AL218" s="3"/>
      <c r="AM218" s="3"/>
      <c r="AN218" s="3"/>
    </row>
    <row r="219" spans="3:40">
      <c r="C219" s="3"/>
      <c r="D219" s="3"/>
      <c r="E219" s="3"/>
      <c r="S219" s="3"/>
      <c r="T219" s="3"/>
      <c r="AI219" s="3"/>
      <c r="AJ219" s="3"/>
      <c r="AK219" s="3"/>
      <c r="AL219" s="3"/>
      <c r="AM219" s="3"/>
      <c r="AN219" s="3"/>
    </row>
    <row r="220" spans="3:40">
      <c r="C220" s="3"/>
      <c r="D220" s="3"/>
      <c r="E220" s="3"/>
      <c r="S220" s="3"/>
      <c r="T220" s="3"/>
      <c r="AI220" s="3"/>
      <c r="AJ220" s="3"/>
      <c r="AK220" s="3"/>
      <c r="AL220" s="3"/>
      <c r="AM220" s="3"/>
      <c r="AN220" s="3"/>
    </row>
    <row r="221" spans="3:40">
      <c r="C221" s="3"/>
      <c r="D221" s="3"/>
      <c r="E221" s="3"/>
      <c r="S221" s="3"/>
      <c r="T221" s="3"/>
      <c r="AI221" s="3"/>
      <c r="AJ221" s="3"/>
      <c r="AK221" s="3"/>
      <c r="AL221" s="3"/>
      <c r="AM221" s="3"/>
      <c r="AN221" s="3"/>
    </row>
    <row r="222" spans="3:40">
      <c r="C222" s="3"/>
      <c r="D222" s="3"/>
      <c r="E222" s="3"/>
      <c r="S222" s="3"/>
      <c r="T222" s="3"/>
      <c r="AI222" s="3"/>
      <c r="AJ222" s="3"/>
      <c r="AK222" s="3"/>
      <c r="AL222" s="3"/>
      <c r="AM222" s="3"/>
      <c r="AN222" s="3"/>
    </row>
    <row r="223" spans="3:40">
      <c r="C223" s="3"/>
      <c r="D223" s="3"/>
      <c r="E223" s="3"/>
      <c r="S223" s="3"/>
      <c r="T223" s="3"/>
      <c r="AI223" s="3"/>
      <c r="AJ223" s="3"/>
      <c r="AK223" s="3"/>
      <c r="AL223" s="3"/>
      <c r="AM223" s="3"/>
      <c r="AN223" s="3"/>
    </row>
    <row r="224" spans="3:40">
      <c r="C224" s="3"/>
      <c r="D224" s="3"/>
      <c r="E224" s="3"/>
      <c r="S224" s="3"/>
      <c r="T224" s="3"/>
      <c r="AI224" s="3"/>
      <c r="AJ224" s="3"/>
      <c r="AK224" s="3"/>
      <c r="AL224" s="3"/>
      <c r="AM224" s="3"/>
      <c r="AN224" s="3"/>
    </row>
    <row r="225" spans="3:40">
      <c r="C225" s="3"/>
      <c r="D225" s="3"/>
      <c r="E225" s="3"/>
      <c r="S225" s="3"/>
      <c r="T225" s="3"/>
      <c r="AI225" s="3"/>
      <c r="AJ225" s="3"/>
      <c r="AK225" s="3"/>
      <c r="AL225" s="3"/>
      <c r="AM225" s="3"/>
      <c r="AN225" s="3"/>
    </row>
    <row r="226" spans="3:40">
      <c r="C226" s="3"/>
      <c r="D226" s="3"/>
      <c r="E226" s="3"/>
      <c r="S226" s="3"/>
      <c r="T226" s="3"/>
      <c r="AI226" s="3"/>
      <c r="AJ226" s="3"/>
      <c r="AK226" s="3"/>
      <c r="AL226" s="3"/>
      <c r="AM226" s="3"/>
      <c r="AN226" s="3"/>
    </row>
    <row r="227" spans="3:40">
      <c r="C227" s="3"/>
      <c r="D227" s="3"/>
      <c r="E227" s="3"/>
      <c r="S227" s="3"/>
      <c r="T227" s="3"/>
      <c r="AI227" s="3"/>
      <c r="AJ227" s="3"/>
      <c r="AK227" s="3"/>
      <c r="AL227" s="3"/>
      <c r="AM227" s="3"/>
      <c r="AN227" s="3"/>
    </row>
    <row r="228" spans="3:40">
      <c r="C228" s="3"/>
      <c r="D228" s="3"/>
      <c r="E228" s="3"/>
      <c r="S228" s="3"/>
      <c r="T228" s="3"/>
      <c r="AI228" s="3"/>
      <c r="AJ228" s="3"/>
      <c r="AK228" s="3"/>
      <c r="AL228" s="3"/>
      <c r="AM228" s="3"/>
      <c r="AN228" s="3"/>
    </row>
    <row r="229" spans="3:40">
      <c r="C229" s="3"/>
      <c r="D229" s="3"/>
      <c r="E229" s="3"/>
      <c r="S229" s="3"/>
      <c r="T229" s="3"/>
      <c r="AI229" s="3"/>
      <c r="AJ229" s="3"/>
      <c r="AK229" s="3"/>
      <c r="AL229" s="3"/>
      <c r="AM229" s="3"/>
      <c r="AN229" s="3"/>
    </row>
    <row r="230" spans="3:40">
      <c r="C230" s="3"/>
      <c r="D230" s="3"/>
      <c r="E230" s="3"/>
      <c r="S230" s="3"/>
      <c r="T230" s="3"/>
      <c r="AI230" s="3"/>
      <c r="AJ230" s="3"/>
      <c r="AK230" s="3"/>
      <c r="AL230" s="3"/>
      <c r="AM230" s="3"/>
      <c r="AN230" s="3"/>
    </row>
    <row r="231" spans="3:40">
      <c r="C231" s="3"/>
      <c r="D231" s="3"/>
      <c r="E231" s="3"/>
      <c r="S231" s="3"/>
      <c r="T231" s="3"/>
      <c r="AI231" s="3"/>
      <c r="AJ231" s="3"/>
      <c r="AK231" s="3"/>
      <c r="AL231" s="3"/>
      <c r="AM231" s="3"/>
      <c r="AN231" s="3"/>
    </row>
    <row r="232" spans="3:40">
      <c r="C232" s="3"/>
      <c r="D232" s="3"/>
      <c r="E232" s="3"/>
      <c r="S232" s="3"/>
      <c r="T232" s="3"/>
      <c r="AI232" s="3"/>
      <c r="AJ232" s="3"/>
      <c r="AK232" s="3"/>
      <c r="AL232" s="3"/>
      <c r="AM232" s="3"/>
      <c r="AN232" s="3"/>
    </row>
    <row r="233" spans="3:40">
      <c r="C233" s="3"/>
      <c r="D233" s="3"/>
      <c r="E233" s="3"/>
      <c r="S233" s="3"/>
      <c r="T233" s="3"/>
      <c r="AI233" s="3"/>
      <c r="AJ233" s="3"/>
      <c r="AK233" s="3"/>
      <c r="AL233" s="3"/>
      <c r="AM233" s="3"/>
      <c r="AN233" s="3"/>
    </row>
    <row r="234" spans="3:40">
      <c r="C234" s="3"/>
      <c r="D234" s="3"/>
      <c r="E234" s="3"/>
      <c r="S234" s="3"/>
      <c r="T234" s="3"/>
      <c r="AI234" s="3"/>
      <c r="AJ234" s="3"/>
      <c r="AK234" s="3"/>
      <c r="AL234" s="3"/>
      <c r="AM234" s="3"/>
      <c r="AN234" s="3"/>
    </row>
    <row r="235" spans="3:40">
      <c r="C235" s="3"/>
      <c r="D235" s="3"/>
      <c r="E235" s="3"/>
      <c r="S235" s="3"/>
      <c r="T235" s="3"/>
      <c r="AI235" s="3"/>
      <c r="AJ235" s="3"/>
      <c r="AK235" s="3"/>
      <c r="AL235" s="3"/>
      <c r="AM235" s="3"/>
      <c r="AN235" s="3"/>
    </row>
    <row r="236" spans="3:40">
      <c r="C236" s="3"/>
      <c r="D236" s="3"/>
      <c r="E236" s="3"/>
      <c r="S236" s="3"/>
      <c r="T236" s="3"/>
      <c r="AI236" s="3"/>
      <c r="AJ236" s="3"/>
      <c r="AK236" s="3"/>
      <c r="AL236" s="3"/>
      <c r="AM236" s="3"/>
      <c r="AN236" s="3"/>
    </row>
    <row r="237" spans="3:40">
      <c r="C237" s="3"/>
      <c r="D237" s="3"/>
      <c r="E237" s="3"/>
      <c r="S237" s="3"/>
      <c r="T237" s="3"/>
      <c r="AI237" s="3"/>
      <c r="AJ237" s="3"/>
      <c r="AK237" s="3"/>
      <c r="AL237" s="3"/>
      <c r="AM237" s="3"/>
      <c r="AN237" s="3"/>
    </row>
    <row r="238" spans="3:40">
      <c r="C238" s="3"/>
      <c r="D238" s="3"/>
      <c r="E238" s="3"/>
      <c r="S238" s="3"/>
      <c r="T238" s="3"/>
      <c r="AI238" s="3"/>
      <c r="AJ238" s="3"/>
      <c r="AK238" s="3"/>
      <c r="AL238" s="3"/>
      <c r="AM238" s="3"/>
      <c r="AN238" s="3"/>
    </row>
    <row r="239" spans="3:40">
      <c r="C239" s="3"/>
      <c r="D239" s="3"/>
      <c r="E239" s="3"/>
      <c r="S239" s="3"/>
      <c r="T239" s="3"/>
      <c r="AI239" s="3"/>
      <c r="AJ239" s="3"/>
      <c r="AK239" s="3"/>
      <c r="AL239" s="3"/>
      <c r="AM239" s="3"/>
      <c r="AN239" s="3"/>
    </row>
    <row r="240" spans="3:40">
      <c r="C240" s="3"/>
      <c r="D240" s="3"/>
      <c r="E240" s="3"/>
      <c r="S240" s="3"/>
      <c r="T240" s="3"/>
      <c r="AI240" s="3"/>
      <c r="AJ240" s="3"/>
      <c r="AK240" s="3"/>
      <c r="AL240" s="3"/>
      <c r="AM240" s="3"/>
      <c r="AN240" s="3"/>
    </row>
    <row r="241" spans="3:40">
      <c r="C241" s="3"/>
      <c r="D241" s="3"/>
      <c r="E241" s="3"/>
      <c r="S241" s="3"/>
      <c r="T241" s="3"/>
      <c r="AI241" s="3"/>
      <c r="AJ241" s="3"/>
      <c r="AK241" s="3"/>
      <c r="AL241" s="3"/>
      <c r="AM241" s="3"/>
      <c r="AN241" s="3"/>
    </row>
    <row r="242" spans="3:40">
      <c r="C242" s="3"/>
      <c r="D242" s="3"/>
      <c r="E242" s="3"/>
      <c r="S242" s="3"/>
      <c r="T242" s="3"/>
      <c r="AI242" s="3"/>
      <c r="AJ242" s="3"/>
      <c r="AK242" s="3"/>
      <c r="AL242" s="3"/>
      <c r="AM242" s="3"/>
      <c r="AN242" s="3"/>
    </row>
    <row r="243" spans="3:40">
      <c r="C243" s="3"/>
      <c r="D243" s="3"/>
      <c r="E243" s="3"/>
      <c r="S243" s="3"/>
      <c r="T243" s="3"/>
      <c r="AI243" s="3"/>
      <c r="AJ243" s="3"/>
      <c r="AK243" s="3"/>
      <c r="AL243" s="3"/>
      <c r="AM243" s="3"/>
      <c r="AN243" s="3"/>
    </row>
    <row r="244" spans="3:40">
      <c r="C244" s="3"/>
      <c r="D244" s="3"/>
      <c r="E244" s="3"/>
      <c r="S244" s="3"/>
      <c r="T244" s="3"/>
      <c r="AI244" s="3"/>
      <c r="AJ244" s="3"/>
      <c r="AK244" s="3"/>
      <c r="AL244" s="3"/>
      <c r="AM244" s="3"/>
      <c r="AN244" s="3"/>
    </row>
    <row r="245" spans="3:40">
      <c r="C245" s="3"/>
      <c r="D245" s="3"/>
      <c r="E245" s="3"/>
      <c r="S245" s="3"/>
      <c r="T245" s="3"/>
      <c r="AI245" s="3"/>
      <c r="AJ245" s="3"/>
      <c r="AK245" s="3"/>
      <c r="AL245" s="3"/>
      <c r="AM245" s="3"/>
      <c r="AN245" s="3"/>
    </row>
    <row r="246" spans="3:40">
      <c r="C246" s="3"/>
      <c r="D246" s="3"/>
      <c r="E246" s="3"/>
      <c r="S246" s="3"/>
      <c r="T246" s="3"/>
      <c r="AI246" s="3"/>
      <c r="AJ246" s="3"/>
      <c r="AK246" s="3"/>
      <c r="AL246" s="3"/>
      <c r="AM246" s="3"/>
      <c r="AN246" s="3"/>
    </row>
    <row r="247" spans="3:40">
      <c r="C247" s="3"/>
      <c r="D247" s="3"/>
      <c r="E247" s="3"/>
      <c r="S247" s="3"/>
      <c r="T247" s="3"/>
      <c r="AI247" s="3"/>
      <c r="AJ247" s="3"/>
      <c r="AK247" s="3"/>
      <c r="AL247" s="3"/>
      <c r="AM247" s="3"/>
      <c r="AN247" s="3"/>
    </row>
    <row r="248" spans="3:40">
      <c r="C248" s="3"/>
      <c r="D248" s="3"/>
      <c r="E248" s="3"/>
      <c r="S248" s="3"/>
      <c r="T248" s="3"/>
      <c r="AI248" s="3"/>
      <c r="AJ248" s="3"/>
      <c r="AK248" s="3"/>
      <c r="AL248" s="3"/>
      <c r="AM248" s="3"/>
      <c r="AN248" s="3"/>
    </row>
    <row r="249" spans="3:40">
      <c r="C249" s="3"/>
      <c r="D249" s="3"/>
      <c r="E249" s="3"/>
      <c r="S249" s="3"/>
      <c r="T249" s="3"/>
      <c r="AI249" s="3"/>
      <c r="AJ249" s="3"/>
      <c r="AK249" s="3"/>
      <c r="AL249" s="3"/>
      <c r="AM249" s="3"/>
      <c r="AN249" s="3"/>
    </row>
    <row r="250" spans="3:40">
      <c r="C250" s="3"/>
      <c r="D250" s="3"/>
      <c r="E250" s="3"/>
      <c r="S250" s="3"/>
      <c r="T250" s="3"/>
      <c r="AI250" s="3"/>
      <c r="AJ250" s="3"/>
      <c r="AK250" s="3"/>
      <c r="AL250" s="3"/>
      <c r="AM250" s="3"/>
      <c r="AN250" s="3"/>
    </row>
    <row r="251" spans="3:40">
      <c r="C251" s="3"/>
      <c r="D251" s="3"/>
      <c r="E251" s="3"/>
      <c r="S251" s="3"/>
      <c r="T251" s="3"/>
      <c r="AI251" s="3"/>
      <c r="AJ251" s="3"/>
      <c r="AK251" s="3"/>
      <c r="AL251" s="3"/>
      <c r="AM251" s="3"/>
      <c r="AN251" s="3"/>
    </row>
    <row r="252" spans="3:40">
      <c r="C252" s="3"/>
      <c r="D252" s="3"/>
      <c r="E252" s="3"/>
      <c r="S252" s="3"/>
      <c r="T252" s="3"/>
      <c r="AI252" s="3"/>
      <c r="AJ252" s="3"/>
      <c r="AK252" s="3"/>
      <c r="AL252" s="3"/>
      <c r="AM252" s="3"/>
      <c r="AN252" s="3"/>
    </row>
    <row r="253" spans="3:40">
      <c r="C253" s="3"/>
      <c r="D253" s="3"/>
      <c r="E253" s="3"/>
      <c r="S253" s="3"/>
      <c r="T253" s="3"/>
      <c r="AI253" s="3"/>
      <c r="AJ253" s="3"/>
      <c r="AK253" s="3"/>
      <c r="AL253" s="3"/>
      <c r="AM253" s="3"/>
      <c r="AN253" s="3"/>
    </row>
    <row r="254" spans="3:40">
      <c r="C254" s="3"/>
      <c r="D254" s="3"/>
      <c r="E254" s="3"/>
      <c r="S254" s="3"/>
      <c r="T254" s="3"/>
      <c r="AI254" s="3"/>
      <c r="AJ254" s="3"/>
      <c r="AK254" s="3"/>
      <c r="AL254" s="3"/>
      <c r="AM254" s="3"/>
      <c r="AN254" s="3"/>
    </row>
    <row r="255" spans="3:40">
      <c r="C255" s="3"/>
      <c r="D255" s="3"/>
      <c r="E255" s="3"/>
      <c r="S255" s="3"/>
      <c r="T255" s="3"/>
      <c r="AI255" s="3"/>
      <c r="AJ255" s="3"/>
      <c r="AK255" s="3"/>
      <c r="AL255" s="3"/>
      <c r="AM255" s="3"/>
      <c r="AN255" s="3"/>
    </row>
    <row r="256" spans="3:40">
      <c r="C256" s="3"/>
      <c r="D256" s="3"/>
      <c r="E256" s="3"/>
      <c r="S256" s="3"/>
      <c r="T256" s="3"/>
      <c r="AI256" s="3"/>
      <c r="AJ256" s="3"/>
      <c r="AK256" s="3"/>
      <c r="AL256" s="3"/>
      <c r="AM256" s="3"/>
      <c r="AN256" s="3"/>
    </row>
    <row r="257" spans="3:40">
      <c r="C257" s="3"/>
      <c r="D257" s="3"/>
      <c r="E257" s="3"/>
      <c r="S257" s="3"/>
      <c r="T257" s="3"/>
      <c r="AI257" s="3"/>
      <c r="AJ257" s="3"/>
      <c r="AK257" s="3"/>
      <c r="AL257" s="3"/>
      <c r="AM257" s="3"/>
      <c r="AN257" s="3"/>
    </row>
    <row r="258" spans="3:40">
      <c r="C258" s="3"/>
      <c r="D258" s="3"/>
      <c r="E258" s="3"/>
      <c r="S258" s="3"/>
      <c r="T258" s="3"/>
      <c r="AI258" s="3"/>
      <c r="AJ258" s="3"/>
      <c r="AK258" s="3"/>
      <c r="AL258" s="3"/>
      <c r="AM258" s="3"/>
      <c r="AN258" s="3"/>
    </row>
    <row r="259" spans="3:40">
      <c r="C259" s="3"/>
      <c r="D259" s="3"/>
      <c r="E259" s="3"/>
      <c r="S259" s="3"/>
      <c r="T259" s="3"/>
      <c r="AI259" s="3"/>
      <c r="AJ259" s="3"/>
      <c r="AK259" s="3"/>
      <c r="AL259" s="3"/>
      <c r="AM259" s="3"/>
      <c r="AN259" s="3"/>
    </row>
    <row r="260" spans="3:40">
      <c r="C260" s="3"/>
      <c r="D260" s="3"/>
      <c r="E260" s="3"/>
      <c r="S260" s="3"/>
      <c r="T260" s="3"/>
      <c r="AI260" s="3"/>
      <c r="AJ260" s="3"/>
      <c r="AK260" s="3"/>
      <c r="AL260" s="3"/>
      <c r="AM260" s="3"/>
      <c r="AN260" s="3"/>
    </row>
    <row r="261" spans="3:40">
      <c r="C261" s="3"/>
      <c r="D261" s="3"/>
      <c r="E261" s="3"/>
      <c r="S261" s="3"/>
      <c r="T261" s="3"/>
      <c r="AI261" s="3"/>
      <c r="AJ261" s="3"/>
      <c r="AK261" s="3"/>
      <c r="AL261" s="3"/>
      <c r="AM261" s="3"/>
      <c r="AN261" s="3"/>
    </row>
    <row r="262" spans="3:40">
      <c r="C262" s="3"/>
      <c r="D262" s="3"/>
      <c r="E262" s="3"/>
      <c r="S262" s="3"/>
      <c r="T262" s="3"/>
      <c r="AI262" s="3"/>
      <c r="AJ262" s="3"/>
      <c r="AK262" s="3"/>
      <c r="AL262" s="3"/>
      <c r="AM262" s="3"/>
      <c r="AN262" s="3"/>
    </row>
    <row r="263" spans="3:40">
      <c r="C263" s="3"/>
      <c r="D263" s="3"/>
      <c r="E263" s="3"/>
      <c r="S263" s="3"/>
      <c r="T263" s="3"/>
      <c r="AI263" s="3"/>
      <c r="AJ263" s="3"/>
      <c r="AK263" s="3"/>
      <c r="AL263" s="3"/>
      <c r="AM263" s="3"/>
      <c r="AN263" s="3"/>
    </row>
    <row r="264" spans="3:40">
      <c r="C264" s="3"/>
      <c r="D264" s="3"/>
      <c r="E264" s="3"/>
      <c r="S264" s="3"/>
      <c r="T264" s="3"/>
      <c r="AI264" s="3"/>
      <c r="AJ264" s="3"/>
      <c r="AK264" s="3"/>
      <c r="AL264" s="3"/>
      <c r="AM264" s="3"/>
      <c r="AN264" s="3"/>
    </row>
    <row r="265" spans="3:40">
      <c r="C265" s="3"/>
      <c r="D265" s="3"/>
      <c r="E265" s="3"/>
      <c r="S265" s="3"/>
      <c r="T265" s="3"/>
      <c r="AI265" s="3"/>
      <c r="AJ265" s="3"/>
      <c r="AK265" s="3"/>
      <c r="AL265" s="3"/>
      <c r="AM265" s="3"/>
      <c r="AN265" s="3"/>
    </row>
    <row r="266" spans="3:40">
      <c r="C266" s="3"/>
      <c r="D266" s="3"/>
      <c r="E266" s="3"/>
      <c r="S266" s="3"/>
      <c r="T266" s="3"/>
      <c r="AI266" s="3"/>
      <c r="AJ266" s="3"/>
      <c r="AK266" s="3"/>
      <c r="AL266" s="3"/>
      <c r="AM266" s="3"/>
      <c r="AN266" s="3"/>
    </row>
    <row r="267" spans="3:40">
      <c r="C267" s="3"/>
      <c r="D267" s="3"/>
      <c r="E267" s="3"/>
      <c r="S267" s="3"/>
      <c r="T267" s="3"/>
      <c r="AI267" s="3"/>
      <c r="AJ267" s="3"/>
      <c r="AK267" s="3"/>
      <c r="AL267" s="3"/>
      <c r="AM267" s="3"/>
      <c r="AN267" s="3"/>
    </row>
    <row r="268" spans="3:40">
      <c r="C268" s="3"/>
      <c r="D268" s="3"/>
      <c r="E268" s="3"/>
      <c r="S268" s="3"/>
      <c r="T268" s="3"/>
      <c r="AI268" s="3"/>
      <c r="AJ268" s="3"/>
      <c r="AK268" s="3"/>
      <c r="AL268" s="3"/>
      <c r="AM268" s="3"/>
      <c r="AN268" s="3"/>
    </row>
    <row r="269" spans="3:40">
      <c r="C269" s="3"/>
      <c r="D269" s="3"/>
      <c r="E269" s="3"/>
      <c r="S269" s="3"/>
      <c r="T269" s="3"/>
      <c r="AI269" s="3"/>
      <c r="AJ269" s="3"/>
      <c r="AK269" s="3"/>
      <c r="AL269" s="3"/>
      <c r="AM269" s="3"/>
      <c r="AN269" s="3"/>
    </row>
    <row r="270" spans="3:40">
      <c r="C270" s="3"/>
      <c r="D270" s="3"/>
      <c r="E270" s="3"/>
      <c r="S270" s="3"/>
      <c r="T270" s="3"/>
      <c r="AI270" s="3"/>
      <c r="AJ270" s="3"/>
      <c r="AK270" s="3"/>
      <c r="AL270" s="3"/>
      <c r="AM270" s="3"/>
      <c r="AN270" s="3"/>
    </row>
    <row r="271" spans="3:40">
      <c r="C271" s="3"/>
      <c r="D271" s="3"/>
      <c r="E271" s="3"/>
      <c r="S271" s="3"/>
      <c r="T271" s="3"/>
      <c r="AI271" s="3"/>
      <c r="AJ271" s="3"/>
      <c r="AK271" s="3"/>
      <c r="AL271" s="3"/>
      <c r="AM271" s="3"/>
      <c r="AN271" s="3"/>
    </row>
    <row r="272" spans="3:40">
      <c r="C272" s="3"/>
      <c r="D272" s="3"/>
      <c r="E272" s="3"/>
      <c r="S272" s="3"/>
      <c r="T272" s="3"/>
      <c r="AI272" s="3"/>
      <c r="AJ272" s="3"/>
      <c r="AK272" s="3"/>
      <c r="AL272" s="3"/>
      <c r="AM272" s="3"/>
      <c r="AN272" s="3"/>
    </row>
    <row r="273" spans="3:40">
      <c r="C273" s="3"/>
      <c r="D273" s="3"/>
      <c r="E273" s="3"/>
      <c r="S273" s="3"/>
      <c r="T273" s="3"/>
      <c r="AI273" s="3"/>
      <c r="AJ273" s="3"/>
      <c r="AK273" s="3"/>
      <c r="AL273" s="3"/>
      <c r="AM273" s="3"/>
      <c r="AN273" s="3"/>
    </row>
    <row r="274" spans="3:40">
      <c r="C274" s="3"/>
      <c r="D274" s="3"/>
      <c r="E274" s="3"/>
      <c r="S274" s="3"/>
      <c r="T274" s="3"/>
      <c r="AI274" s="3"/>
      <c r="AJ274" s="3"/>
      <c r="AK274" s="3"/>
      <c r="AL274" s="3"/>
      <c r="AM274" s="3"/>
      <c r="AN274" s="3"/>
    </row>
    <row r="275" spans="3:40">
      <c r="C275" s="3"/>
      <c r="D275" s="3"/>
      <c r="E275" s="3"/>
      <c r="S275" s="3"/>
      <c r="T275" s="3"/>
      <c r="AI275" s="3"/>
      <c r="AJ275" s="3"/>
      <c r="AK275" s="3"/>
      <c r="AL275" s="3"/>
      <c r="AM275" s="3"/>
      <c r="AN275" s="3"/>
    </row>
    <row r="276" spans="3:40">
      <c r="C276" s="3"/>
      <c r="D276" s="3"/>
      <c r="E276" s="3"/>
      <c r="S276" s="3"/>
      <c r="T276" s="3"/>
      <c r="AI276" s="3"/>
      <c r="AJ276" s="3"/>
      <c r="AK276" s="3"/>
      <c r="AL276" s="3"/>
      <c r="AM276" s="3"/>
      <c r="AN276" s="3"/>
    </row>
    <row r="277" spans="3:40">
      <c r="C277" s="3"/>
      <c r="D277" s="3"/>
      <c r="E277" s="3"/>
      <c r="S277" s="3"/>
      <c r="T277" s="3"/>
      <c r="AI277" s="3"/>
      <c r="AJ277" s="3"/>
      <c r="AK277" s="3"/>
      <c r="AL277" s="3"/>
      <c r="AM277" s="3"/>
      <c r="AN277" s="3"/>
    </row>
    <row r="278" spans="3:40">
      <c r="C278" s="3"/>
      <c r="D278" s="3"/>
      <c r="E278" s="3"/>
      <c r="S278" s="3"/>
      <c r="T278" s="3"/>
      <c r="AI278" s="3"/>
      <c r="AJ278" s="3"/>
      <c r="AK278" s="3"/>
      <c r="AL278" s="3"/>
      <c r="AM278" s="3"/>
      <c r="AN278" s="3"/>
    </row>
    <row r="279" spans="3:40">
      <c r="C279" s="3"/>
      <c r="D279" s="3"/>
      <c r="E279" s="3"/>
      <c r="S279" s="3"/>
      <c r="T279" s="3"/>
      <c r="AI279" s="3"/>
      <c r="AJ279" s="3"/>
      <c r="AK279" s="3"/>
      <c r="AL279" s="3"/>
      <c r="AM279" s="3"/>
      <c r="AN279" s="3"/>
    </row>
    <row r="280" spans="3:40">
      <c r="C280" s="3"/>
      <c r="D280" s="3"/>
      <c r="E280" s="3"/>
      <c r="S280" s="3"/>
      <c r="T280" s="3"/>
      <c r="AI280" s="3"/>
      <c r="AJ280" s="3"/>
      <c r="AK280" s="3"/>
      <c r="AL280" s="3"/>
      <c r="AM280" s="3"/>
      <c r="AN280" s="3"/>
    </row>
    <row r="281" spans="3:40">
      <c r="C281" s="3"/>
      <c r="D281" s="3"/>
      <c r="E281" s="3"/>
      <c r="S281" s="3"/>
      <c r="T281" s="3"/>
      <c r="AI281" s="3"/>
      <c r="AJ281" s="3"/>
      <c r="AK281" s="3"/>
      <c r="AL281" s="3"/>
      <c r="AM281" s="3"/>
      <c r="AN281" s="3"/>
    </row>
    <row r="282" spans="3:40">
      <c r="C282" s="3"/>
      <c r="D282" s="3"/>
      <c r="E282" s="3"/>
      <c r="S282" s="3"/>
      <c r="T282" s="3"/>
      <c r="AI282" s="3"/>
      <c r="AJ282" s="3"/>
      <c r="AK282" s="3"/>
      <c r="AL282" s="3"/>
      <c r="AM282" s="3"/>
      <c r="AN282" s="3"/>
    </row>
    <row r="283" spans="3:40">
      <c r="C283" s="3"/>
      <c r="D283" s="3"/>
      <c r="E283" s="3"/>
      <c r="S283" s="3"/>
      <c r="T283" s="3"/>
      <c r="AI283" s="3"/>
      <c r="AJ283" s="3"/>
      <c r="AK283" s="3"/>
      <c r="AL283" s="3"/>
      <c r="AM283" s="3"/>
      <c r="AN283" s="3"/>
    </row>
    <row r="284" spans="3:40">
      <c r="C284" s="3"/>
      <c r="D284" s="3"/>
      <c r="E284" s="3"/>
      <c r="S284" s="3"/>
      <c r="T284" s="3"/>
      <c r="AI284" s="3"/>
      <c r="AJ284" s="3"/>
      <c r="AK284" s="3"/>
      <c r="AL284" s="3"/>
      <c r="AM284" s="3"/>
      <c r="AN284" s="3"/>
    </row>
    <row r="285" spans="3:40">
      <c r="C285" s="3"/>
      <c r="D285" s="3"/>
      <c r="E285" s="3"/>
      <c r="S285" s="3"/>
      <c r="T285" s="3"/>
      <c r="AI285" s="3"/>
      <c r="AJ285" s="3"/>
      <c r="AK285" s="3"/>
      <c r="AL285" s="3"/>
      <c r="AM285" s="3"/>
      <c r="AN285" s="3"/>
    </row>
    <row r="286" spans="3:40">
      <c r="C286" s="3"/>
      <c r="D286" s="3"/>
      <c r="E286" s="3"/>
      <c r="S286" s="3"/>
      <c r="T286" s="3"/>
      <c r="AI286" s="3"/>
      <c r="AJ286" s="3"/>
      <c r="AK286" s="3"/>
      <c r="AL286" s="3"/>
      <c r="AM286" s="3"/>
      <c r="AN286" s="3"/>
    </row>
    <row r="287" spans="3:40">
      <c r="C287" s="3"/>
      <c r="D287" s="3"/>
      <c r="E287" s="3"/>
      <c r="S287" s="3"/>
      <c r="T287" s="3"/>
      <c r="AI287" s="3"/>
      <c r="AJ287" s="3"/>
      <c r="AK287" s="3"/>
      <c r="AL287" s="3"/>
      <c r="AM287" s="3"/>
      <c r="AN287" s="3"/>
    </row>
    <row r="288" spans="3:40">
      <c r="C288" s="3"/>
      <c r="D288" s="3"/>
      <c r="E288" s="3"/>
      <c r="S288" s="3"/>
      <c r="T288" s="3"/>
      <c r="AI288" s="3"/>
      <c r="AJ288" s="3"/>
      <c r="AK288" s="3"/>
      <c r="AL288" s="3"/>
      <c r="AM288" s="3"/>
      <c r="AN288" s="3"/>
    </row>
    <row r="289" spans="3:40">
      <c r="C289" s="3"/>
      <c r="D289" s="3"/>
      <c r="E289" s="3"/>
      <c r="S289" s="3"/>
      <c r="T289" s="3"/>
      <c r="AI289" s="3"/>
      <c r="AJ289" s="3"/>
      <c r="AK289" s="3"/>
      <c r="AL289" s="3"/>
      <c r="AM289" s="3"/>
      <c r="AN289" s="3"/>
    </row>
    <row r="290" spans="3:40">
      <c r="C290" s="3"/>
      <c r="D290" s="3"/>
      <c r="E290" s="3"/>
      <c r="S290" s="3"/>
      <c r="T290" s="3"/>
      <c r="AI290" s="3"/>
      <c r="AJ290" s="3"/>
      <c r="AK290" s="3"/>
      <c r="AL290" s="3"/>
      <c r="AM290" s="3"/>
      <c r="AN290" s="3"/>
    </row>
    <row r="291" spans="3:40">
      <c r="C291" s="3"/>
      <c r="D291" s="3"/>
      <c r="E291" s="3"/>
      <c r="S291" s="3"/>
      <c r="T291" s="3"/>
      <c r="AI291" s="3"/>
      <c r="AJ291" s="3"/>
      <c r="AK291" s="3"/>
      <c r="AL291" s="3"/>
      <c r="AM291" s="3"/>
      <c r="AN291" s="3"/>
    </row>
    <row r="292" spans="3:40">
      <c r="C292" s="3"/>
      <c r="D292" s="3"/>
      <c r="E292" s="3"/>
      <c r="S292" s="3"/>
      <c r="T292" s="3"/>
      <c r="AI292" s="3"/>
      <c r="AJ292" s="3"/>
      <c r="AK292" s="3"/>
      <c r="AL292" s="3"/>
      <c r="AM292" s="3"/>
      <c r="AN292" s="3"/>
    </row>
    <row r="293" spans="3:40">
      <c r="C293" s="3"/>
      <c r="D293" s="3"/>
      <c r="E293" s="3"/>
      <c r="S293" s="3"/>
      <c r="T293" s="3"/>
      <c r="AI293" s="3"/>
      <c r="AJ293" s="3"/>
      <c r="AK293" s="3"/>
      <c r="AL293" s="3"/>
      <c r="AM293" s="3"/>
      <c r="AN293" s="3"/>
    </row>
    <row r="294" spans="3:40">
      <c r="C294" s="3"/>
      <c r="D294" s="3"/>
      <c r="E294" s="3"/>
      <c r="S294" s="3"/>
      <c r="T294" s="3"/>
      <c r="AI294" s="3"/>
      <c r="AJ294" s="3"/>
      <c r="AK294" s="3"/>
      <c r="AL294" s="3"/>
      <c r="AM294" s="3"/>
      <c r="AN294" s="3"/>
    </row>
    <row r="295" spans="3:40">
      <c r="C295" s="3"/>
      <c r="D295" s="3"/>
      <c r="E295" s="3"/>
      <c r="S295" s="3"/>
      <c r="T295" s="3"/>
      <c r="AI295" s="3"/>
      <c r="AJ295" s="3"/>
      <c r="AK295" s="3"/>
      <c r="AL295" s="3"/>
      <c r="AM295" s="3"/>
      <c r="AN295" s="3"/>
    </row>
    <row r="296" spans="3:40">
      <c r="C296" s="3"/>
      <c r="D296" s="3"/>
      <c r="E296" s="3"/>
      <c r="S296" s="3"/>
      <c r="T296" s="3"/>
      <c r="AI296" s="3"/>
      <c r="AJ296" s="3"/>
      <c r="AK296" s="3"/>
      <c r="AL296" s="3"/>
      <c r="AM296" s="3"/>
      <c r="AN296" s="3"/>
    </row>
    <row r="297" spans="3:40">
      <c r="C297" s="3"/>
      <c r="D297" s="3"/>
      <c r="E297" s="3"/>
      <c r="S297" s="3"/>
      <c r="T297" s="3"/>
      <c r="AI297" s="3"/>
      <c r="AJ297" s="3"/>
      <c r="AK297" s="3"/>
      <c r="AL297" s="3"/>
      <c r="AM297" s="3"/>
      <c r="AN297" s="3"/>
    </row>
    <row r="298" spans="3:40">
      <c r="C298" s="3"/>
      <c r="D298" s="3"/>
      <c r="E298" s="3"/>
      <c r="S298" s="3"/>
      <c r="T298" s="3"/>
      <c r="AI298" s="3"/>
      <c r="AJ298" s="3"/>
      <c r="AK298" s="3"/>
      <c r="AL298" s="3"/>
      <c r="AM298" s="3"/>
      <c r="AN298" s="3"/>
    </row>
    <row r="299" spans="3:40">
      <c r="C299" s="3"/>
      <c r="D299" s="3"/>
      <c r="E299" s="3"/>
      <c r="S299" s="3"/>
      <c r="T299" s="3"/>
      <c r="AI299" s="3"/>
      <c r="AJ299" s="3"/>
      <c r="AK299" s="3"/>
      <c r="AL299" s="3"/>
      <c r="AM299" s="3"/>
      <c r="AN299" s="3"/>
    </row>
    <row r="300" spans="3:40">
      <c r="C300" s="3"/>
      <c r="D300" s="3"/>
      <c r="E300" s="3"/>
      <c r="S300" s="3"/>
      <c r="T300" s="3"/>
      <c r="AI300" s="3"/>
      <c r="AJ300" s="3"/>
      <c r="AK300" s="3"/>
      <c r="AL300" s="3"/>
      <c r="AM300" s="3"/>
      <c r="AN300" s="3"/>
    </row>
    <row r="301" spans="3:40">
      <c r="C301" s="3"/>
      <c r="D301" s="3"/>
      <c r="E301" s="3"/>
      <c r="S301" s="3"/>
      <c r="T301" s="3"/>
      <c r="AI301" s="3"/>
      <c r="AJ301" s="3"/>
      <c r="AK301" s="3"/>
      <c r="AL301" s="3"/>
      <c r="AM301" s="3"/>
      <c r="AN301" s="3"/>
    </row>
    <row r="302" spans="3:40">
      <c r="C302" s="3"/>
      <c r="D302" s="3"/>
      <c r="E302" s="3"/>
      <c r="S302" s="3"/>
      <c r="T302" s="3"/>
      <c r="AI302" s="3"/>
      <c r="AJ302" s="3"/>
      <c r="AK302" s="3"/>
      <c r="AL302" s="3"/>
      <c r="AM302" s="3"/>
      <c r="AN302" s="3"/>
    </row>
    <row r="303" spans="3:40">
      <c r="C303" s="3"/>
      <c r="D303" s="3"/>
      <c r="E303" s="3"/>
      <c r="S303" s="3"/>
      <c r="T303" s="3"/>
      <c r="AI303" s="3"/>
      <c r="AJ303" s="3"/>
      <c r="AK303" s="3"/>
      <c r="AL303" s="3"/>
      <c r="AM303" s="3"/>
      <c r="AN303" s="3"/>
    </row>
    <row r="304" spans="3:40">
      <c r="C304" s="3"/>
      <c r="D304" s="3"/>
      <c r="E304" s="3"/>
      <c r="S304" s="3"/>
      <c r="T304" s="3"/>
      <c r="AI304" s="3"/>
      <c r="AJ304" s="3"/>
      <c r="AK304" s="3"/>
      <c r="AL304" s="3"/>
      <c r="AM304" s="3"/>
      <c r="AN304" s="3"/>
    </row>
    <row r="305" spans="3:40">
      <c r="C305" s="3"/>
      <c r="D305" s="3"/>
      <c r="E305" s="3"/>
      <c r="S305" s="3"/>
      <c r="T305" s="3"/>
      <c r="AI305" s="3"/>
      <c r="AJ305" s="3"/>
      <c r="AK305" s="3"/>
      <c r="AL305" s="3"/>
      <c r="AM305" s="3"/>
      <c r="AN305" s="3"/>
    </row>
    <row r="306" spans="3:40">
      <c r="C306" s="3"/>
      <c r="D306" s="3"/>
      <c r="E306" s="3"/>
      <c r="S306" s="3"/>
      <c r="T306" s="3"/>
      <c r="AI306" s="3"/>
      <c r="AJ306" s="3"/>
      <c r="AK306" s="3"/>
      <c r="AL306" s="3"/>
      <c r="AM306" s="3"/>
      <c r="AN306" s="3"/>
    </row>
    <row r="307" spans="3:40">
      <c r="C307" s="3"/>
      <c r="D307" s="3"/>
      <c r="E307" s="3"/>
      <c r="S307" s="3"/>
      <c r="T307" s="3"/>
      <c r="AI307" s="3"/>
      <c r="AJ307" s="3"/>
      <c r="AK307" s="3"/>
      <c r="AL307" s="3"/>
      <c r="AM307" s="3"/>
      <c r="AN307" s="3"/>
    </row>
    <row r="308" spans="3:40">
      <c r="C308" s="3"/>
      <c r="D308" s="3"/>
      <c r="E308" s="3"/>
      <c r="S308" s="3"/>
      <c r="T308" s="3"/>
      <c r="AI308" s="3"/>
      <c r="AJ308" s="3"/>
      <c r="AK308" s="3"/>
      <c r="AL308" s="3"/>
      <c r="AM308" s="3"/>
      <c r="AN308" s="3"/>
    </row>
    <row r="309" spans="3:40">
      <c r="C309" s="3"/>
      <c r="D309" s="3"/>
      <c r="E309" s="3"/>
      <c r="S309" s="3"/>
      <c r="T309" s="3"/>
      <c r="AI309" s="3"/>
      <c r="AJ309" s="3"/>
      <c r="AK309" s="3"/>
      <c r="AL309" s="3"/>
      <c r="AM309" s="3"/>
      <c r="AN309" s="3"/>
    </row>
    <row r="310" spans="3:40">
      <c r="C310" s="3"/>
      <c r="D310" s="3"/>
      <c r="E310" s="3"/>
      <c r="S310" s="3"/>
      <c r="T310" s="3"/>
      <c r="AI310" s="3"/>
      <c r="AJ310" s="3"/>
      <c r="AK310" s="3"/>
      <c r="AL310" s="3"/>
      <c r="AM310" s="3"/>
      <c r="AN310" s="3"/>
    </row>
    <row r="311" spans="3:40">
      <c r="C311" s="3"/>
      <c r="D311" s="3"/>
      <c r="E311" s="3"/>
      <c r="S311" s="3"/>
      <c r="T311" s="3"/>
      <c r="AI311" s="3"/>
      <c r="AJ311" s="3"/>
      <c r="AK311" s="3"/>
      <c r="AL311" s="3"/>
      <c r="AM311" s="3"/>
      <c r="AN311" s="3"/>
    </row>
    <row r="312" spans="3:40">
      <c r="C312" s="3"/>
      <c r="D312" s="3"/>
      <c r="E312" s="3"/>
      <c r="S312" s="3"/>
      <c r="T312" s="3"/>
      <c r="AI312" s="3"/>
      <c r="AJ312" s="3"/>
      <c r="AK312" s="3"/>
      <c r="AL312" s="3"/>
      <c r="AM312" s="3"/>
      <c r="AN312" s="3"/>
    </row>
    <row r="313" spans="3:40">
      <c r="C313" s="3"/>
      <c r="D313" s="3"/>
      <c r="E313" s="3"/>
      <c r="S313" s="3"/>
      <c r="T313" s="3"/>
      <c r="AI313" s="3"/>
      <c r="AJ313" s="3"/>
      <c r="AK313" s="3"/>
      <c r="AL313" s="3"/>
      <c r="AM313" s="3"/>
      <c r="AN313" s="3"/>
    </row>
    <row r="314" spans="3:40">
      <c r="C314" s="3"/>
      <c r="D314" s="3"/>
      <c r="E314" s="3"/>
      <c r="S314" s="3"/>
      <c r="T314" s="3"/>
      <c r="AI314" s="3"/>
      <c r="AJ314" s="3"/>
      <c r="AK314" s="3"/>
      <c r="AL314" s="3"/>
      <c r="AM314" s="3"/>
      <c r="AN314" s="3"/>
    </row>
    <row r="315" spans="3:40">
      <c r="C315" s="3"/>
      <c r="D315" s="3"/>
      <c r="E315" s="3"/>
      <c r="S315" s="3"/>
      <c r="T315" s="3"/>
      <c r="AI315" s="3"/>
      <c r="AJ315" s="3"/>
      <c r="AK315" s="3"/>
      <c r="AL315" s="3"/>
      <c r="AM315" s="3"/>
      <c r="AN315" s="3"/>
    </row>
    <row r="316" spans="3:40">
      <c r="C316" s="3"/>
      <c r="D316" s="3"/>
      <c r="E316" s="3"/>
      <c r="S316" s="3"/>
      <c r="T316" s="3"/>
      <c r="AI316" s="3"/>
      <c r="AJ316" s="3"/>
      <c r="AK316" s="3"/>
      <c r="AL316" s="3"/>
      <c r="AM316" s="3"/>
      <c r="AN316" s="3"/>
    </row>
    <row r="317" spans="3:40">
      <c r="C317" s="3"/>
      <c r="D317" s="3"/>
      <c r="E317" s="3"/>
      <c r="S317" s="3"/>
      <c r="T317" s="3"/>
      <c r="AI317" s="3"/>
      <c r="AJ317" s="3"/>
      <c r="AK317" s="3"/>
      <c r="AL317" s="3"/>
      <c r="AM317" s="3"/>
      <c r="AN317" s="3"/>
    </row>
    <row r="318" spans="3:40">
      <c r="C318" s="3"/>
      <c r="D318" s="3"/>
      <c r="E318" s="3"/>
      <c r="S318" s="3"/>
      <c r="T318" s="3"/>
      <c r="AI318" s="3"/>
      <c r="AJ318" s="3"/>
      <c r="AK318" s="3"/>
      <c r="AL318" s="3"/>
      <c r="AM318" s="3"/>
      <c r="AN318" s="3"/>
    </row>
    <row r="319" spans="3:40">
      <c r="C319" s="3"/>
      <c r="D319" s="3"/>
      <c r="E319" s="3"/>
      <c r="S319" s="3"/>
      <c r="T319" s="3"/>
      <c r="AI319" s="3"/>
      <c r="AJ319" s="3"/>
      <c r="AK319" s="3"/>
      <c r="AL319" s="3"/>
      <c r="AM319" s="3"/>
      <c r="AN319" s="3"/>
    </row>
    <row r="320" spans="3:40">
      <c r="C320" s="3"/>
      <c r="D320" s="3"/>
      <c r="E320" s="3"/>
      <c r="S320" s="3"/>
      <c r="T320" s="3"/>
      <c r="AI320" s="3"/>
      <c r="AJ320" s="3"/>
      <c r="AK320" s="3"/>
      <c r="AL320" s="3"/>
      <c r="AM320" s="3"/>
      <c r="AN320" s="3"/>
    </row>
    <row r="321" spans="3:40">
      <c r="C321" s="3"/>
      <c r="D321" s="3"/>
      <c r="E321" s="3"/>
      <c r="S321" s="3"/>
      <c r="T321" s="3"/>
      <c r="AI321" s="3"/>
      <c r="AJ321" s="3"/>
      <c r="AK321" s="3"/>
      <c r="AL321" s="3"/>
      <c r="AM321" s="3"/>
      <c r="AN321" s="3"/>
    </row>
    <row r="322" spans="3:40">
      <c r="C322" s="3"/>
      <c r="D322" s="3"/>
      <c r="E322" s="3"/>
      <c r="S322" s="3"/>
      <c r="T322" s="3"/>
      <c r="AI322" s="3"/>
      <c r="AJ322" s="3"/>
      <c r="AK322" s="3"/>
      <c r="AL322" s="3"/>
      <c r="AM322" s="3"/>
      <c r="AN322" s="3"/>
    </row>
    <row r="323" spans="3:40">
      <c r="C323" s="3"/>
      <c r="D323" s="3"/>
      <c r="E323" s="3"/>
      <c r="S323" s="3"/>
      <c r="T323" s="3"/>
      <c r="AI323" s="3"/>
      <c r="AJ323" s="3"/>
      <c r="AK323" s="3"/>
      <c r="AL323" s="3"/>
      <c r="AM323" s="3"/>
      <c r="AN323" s="3"/>
    </row>
    <row r="324" spans="3:40">
      <c r="C324" s="3"/>
      <c r="D324" s="3"/>
      <c r="E324" s="3"/>
      <c r="S324" s="3"/>
      <c r="T324" s="3"/>
      <c r="AI324" s="3"/>
      <c r="AJ324" s="3"/>
      <c r="AK324" s="3"/>
      <c r="AL324" s="3"/>
      <c r="AM324" s="3"/>
      <c r="AN324" s="3"/>
    </row>
    <row r="325" spans="3:40">
      <c r="C325" s="3"/>
      <c r="D325" s="3"/>
      <c r="E325" s="3"/>
      <c r="S325" s="3"/>
      <c r="T325" s="3"/>
      <c r="AI325" s="3"/>
      <c r="AJ325" s="3"/>
      <c r="AK325" s="3"/>
      <c r="AL325" s="3"/>
      <c r="AM325" s="3"/>
      <c r="AN325" s="3"/>
    </row>
    <row r="326" spans="3:40">
      <c r="C326" s="3"/>
      <c r="D326" s="3"/>
      <c r="E326" s="3"/>
      <c r="S326" s="3"/>
      <c r="T326" s="3"/>
      <c r="AI326" s="3"/>
      <c r="AJ326" s="3"/>
      <c r="AK326" s="3"/>
      <c r="AL326" s="3"/>
      <c r="AM326" s="3"/>
      <c r="AN326" s="3"/>
    </row>
    <row r="327" spans="3:40">
      <c r="C327" s="3"/>
      <c r="D327" s="3"/>
      <c r="E327" s="3"/>
      <c r="S327" s="3"/>
      <c r="T327" s="3"/>
      <c r="AI327" s="3"/>
      <c r="AJ327" s="3"/>
      <c r="AK327" s="3"/>
      <c r="AL327" s="3"/>
      <c r="AM327" s="3"/>
      <c r="AN327" s="3"/>
    </row>
    <row r="328" spans="3:40">
      <c r="C328" s="3"/>
      <c r="D328" s="3"/>
      <c r="E328" s="3"/>
      <c r="S328" s="3"/>
      <c r="T328" s="3"/>
      <c r="AI328" s="3"/>
      <c r="AJ328" s="3"/>
      <c r="AK328" s="3"/>
      <c r="AL328" s="3"/>
      <c r="AM328" s="3"/>
      <c r="AN328" s="3"/>
    </row>
    <row r="329" spans="3:40">
      <c r="C329" s="3"/>
      <c r="D329" s="3"/>
      <c r="E329" s="3"/>
      <c r="S329" s="3"/>
      <c r="T329" s="3"/>
      <c r="AI329" s="3"/>
      <c r="AJ329" s="3"/>
      <c r="AK329" s="3"/>
      <c r="AL329" s="3"/>
      <c r="AM329" s="3"/>
      <c r="AN329" s="3"/>
    </row>
    <row r="330" spans="3:40">
      <c r="C330" s="3"/>
      <c r="D330" s="3"/>
      <c r="E330" s="3"/>
      <c r="S330" s="3"/>
      <c r="T330" s="3"/>
      <c r="AI330" s="3"/>
      <c r="AJ330" s="3"/>
      <c r="AK330" s="3"/>
      <c r="AL330" s="3"/>
      <c r="AM330" s="3"/>
      <c r="AN330" s="3"/>
    </row>
    <row r="331" spans="3:40">
      <c r="C331" s="3"/>
      <c r="D331" s="3"/>
      <c r="E331" s="3"/>
      <c r="S331" s="3"/>
      <c r="T331" s="3"/>
      <c r="AI331" s="3"/>
      <c r="AJ331" s="3"/>
      <c r="AK331" s="3"/>
      <c r="AL331" s="3"/>
      <c r="AM331" s="3"/>
      <c r="AN331" s="3"/>
    </row>
    <row r="332" spans="3:40">
      <c r="C332" s="3"/>
      <c r="D332" s="3"/>
      <c r="E332" s="3"/>
      <c r="S332" s="3"/>
      <c r="T332" s="3"/>
      <c r="AI332" s="3"/>
      <c r="AJ332" s="3"/>
      <c r="AK332" s="3"/>
      <c r="AL332" s="3"/>
      <c r="AM332" s="3"/>
      <c r="AN332" s="3"/>
    </row>
    <row r="333" spans="3:40">
      <c r="C333" s="3"/>
      <c r="D333" s="3"/>
      <c r="E333" s="3"/>
      <c r="S333" s="3"/>
      <c r="T333" s="3"/>
      <c r="AI333" s="3"/>
      <c r="AJ333" s="3"/>
      <c r="AK333" s="3"/>
      <c r="AL333" s="3"/>
      <c r="AM333" s="3"/>
      <c r="AN333" s="3"/>
    </row>
    <row r="334" spans="3:40">
      <c r="C334" s="3"/>
      <c r="D334" s="3"/>
      <c r="E334" s="3"/>
      <c r="S334" s="3"/>
      <c r="T334" s="3"/>
      <c r="AI334" s="3"/>
      <c r="AJ334" s="3"/>
      <c r="AK334" s="3"/>
      <c r="AL334" s="3"/>
      <c r="AM334" s="3"/>
      <c r="AN334" s="3"/>
    </row>
    <row r="335" spans="3:40">
      <c r="C335" s="3"/>
      <c r="D335" s="3"/>
      <c r="E335" s="3"/>
      <c r="S335" s="3"/>
      <c r="T335" s="3"/>
      <c r="AI335" s="3"/>
      <c r="AJ335" s="3"/>
      <c r="AK335" s="3"/>
      <c r="AL335" s="3"/>
      <c r="AM335" s="3"/>
      <c r="AN335" s="3"/>
    </row>
    <row r="336" spans="3:40">
      <c r="C336" s="3"/>
      <c r="D336" s="3"/>
      <c r="E336" s="3"/>
      <c r="S336" s="3"/>
      <c r="T336" s="3"/>
      <c r="AI336" s="3"/>
      <c r="AJ336" s="3"/>
      <c r="AK336" s="3"/>
      <c r="AL336" s="3"/>
      <c r="AM336" s="3"/>
      <c r="AN336" s="3"/>
    </row>
    <row r="337" spans="3:40">
      <c r="C337" s="3"/>
      <c r="D337" s="3"/>
      <c r="E337" s="3"/>
      <c r="S337" s="3"/>
      <c r="T337" s="3"/>
      <c r="AI337" s="3"/>
      <c r="AJ337" s="3"/>
      <c r="AK337" s="3"/>
      <c r="AL337" s="3"/>
      <c r="AM337" s="3"/>
      <c r="AN337" s="3"/>
    </row>
    <row r="338" spans="3:40">
      <c r="C338" s="3"/>
      <c r="D338" s="3"/>
      <c r="E338" s="3"/>
      <c r="S338" s="3"/>
      <c r="T338" s="3"/>
      <c r="AI338" s="3"/>
      <c r="AJ338" s="3"/>
      <c r="AK338" s="3"/>
      <c r="AL338" s="3"/>
      <c r="AM338" s="3"/>
      <c r="AN338" s="3"/>
    </row>
    <row r="339" spans="3:40">
      <c r="C339" s="3"/>
      <c r="D339" s="3"/>
      <c r="E339" s="3"/>
      <c r="S339" s="3"/>
      <c r="T339" s="3"/>
      <c r="AI339" s="3"/>
      <c r="AJ339" s="3"/>
      <c r="AK339" s="3"/>
      <c r="AL339" s="3"/>
      <c r="AM339" s="3"/>
      <c r="AN339" s="3"/>
    </row>
    <row r="340" spans="3:40">
      <c r="C340" s="3"/>
      <c r="D340" s="3"/>
      <c r="E340" s="3"/>
      <c r="S340" s="3"/>
      <c r="T340" s="3"/>
      <c r="AI340" s="3"/>
      <c r="AJ340" s="3"/>
      <c r="AK340" s="3"/>
      <c r="AL340" s="3"/>
      <c r="AM340" s="3"/>
      <c r="AN340" s="3"/>
    </row>
    <row r="341" spans="3:40">
      <c r="C341" s="3"/>
      <c r="D341" s="3"/>
      <c r="E341" s="3"/>
      <c r="S341" s="3"/>
      <c r="T341" s="3"/>
      <c r="AI341" s="3"/>
      <c r="AJ341" s="3"/>
      <c r="AK341" s="3"/>
      <c r="AL341" s="3"/>
      <c r="AM341" s="3"/>
      <c r="AN341" s="3"/>
    </row>
    <row r="342" spans="3:40">
      <c r="C342" s="3"/>
      <c r="D342" s="3"/>
      <c r="E342" s="3"/>
      <c r="S342" s="3"/>
      <c r="T342" s="3"/>
      <c r="AI342" s="3"/>
      <c r="AJ342" s="3"/>
      <c r="AK342" s="3"/>
      <c r="AL342" s="3"/>
      <c r="AM342" s="3"/>
      <c r="AN342" s="3"/>
    </row>
    <row r="343" spans="3:40">
      <c r="C343" s="3"/>
      <c r="D343" s="3"/>
      <c r="E343" s="3"/>
      <c r="S343" s="3"/>
      <c r="T343" s="3"/>
      <c r="AI343" s="3"/>
      <c r="AJ343" s="3"/>
      <c r="AK343" s="3"/>
      <c r="AL343" s="3"/>
      <c r="AM343" s="3"/>
      <c r="AN343" s="3"/>
    </row>
    <row r="344" spans="3:40">
      <c r="C344" s="3"/>
      <c r="D344" s="3"/>
      <c r="E344" s="3"/>
      <c r="S344" s="3"/>
      <c r="T344" s="3"/>
      <c r="AI344" s="3"/>
      <c r="AJ344" s="3"/>
      <c r="AK344" s="3"/>
      <c r="AL344" s="3"/>
      <c r="AM344" s="3"/>
      <c r="AN344" s="3"/>
    </row>
    <row r="345" spans="3:40">
      <c r="C345" s="3"/>
      <c r="D345" s="3"/>
      <c r="E345" s="3"/>
      <c r="S345" s="3"/>
      <c r="T345" s="3"/>
      <c r="AI345" s="3"/>
      <c r="AJ345" s="3"/>
      <c r="AK345" s="3"/>
      <c r="AL345" s="3"/>
      <c r="AM345" s="3"/>
      <c r="AN345" s="3"/>
    </row>
    <row r="346" spans="3:40">
      <c r="C346" s="3"/>
      <c r="D346" s="3"/>
      <c r="E346" s="3"/>
      <c r="S346" s="3"/>
      <c r="T346" s="3"/>
      <c r="AI346" s="3"/>
      <c r="AJ346" s="3"/>
      <c r="AK346" s="3"/>
      <c r="AL346" s="3"/>
      <c r="AM346" s="3"/>
      <c r="AN346" s="3"/>
    </row>
    <row r="347" spans="3:40">
      <c r="C347" s="3"/>
      <c r="D347" s="3"/>
      <c r="E347" s="3"/>
      <c r="S347" s="3"/>
      <c r="T347" s="3"/>
      <c r="AI347" s="3"/>
      <c r="AJ347" s="3"/>
      <c r="AK347" s="3"/>
      <c r="AL347" s="3"/>
      <c r="AM347" s="3"/>
      <c r="AN347" s="3"/>
    </row>
    <row r="348" spans="3:40">
      <c r="C348" s="3"/>
      <c r="D348" s="3"/>
      <c r="E348" s="3"/>
      <c r="S348" s="3"/>
      <c r="T348" s="3"/>
      <c r="AI348" s="3"/>
      <c r="AJ348" s="3"/>
      <c r="AK348" s="3"/>
      <c r="AL348" s="3"/>
      <c r="AM348" s="3"/>
      <c r="AN348" s="3"/>
    </row>
    <row r="349" spans="3:40">
      <c r="C349" s="3"/>
      <c r="D349" s="3"/>
      <c r="E349" s="3"/>
      <c r="S349" s="3"/>
      <c r="T349" s="3"/>
      <c r="AI349" s="3"/>
      <c r="AJ349" s="3"/>
      <c r="AK349" s="3"/>
      <c r="AL349" s="3"/>
      <c r="AM349" s="3"/>
      <c r="AN349" s="3"/>
    </row>
    <row r="350" spans="3:40">
      <c r="C350" s="3"/>
      <c r="D350" s="3"/>
      <c r="E350" s="3"/>
      <c r="S350" s="3"/>
      <c r="T350" s="3"/>
      <c r="AI350" s="3"/>
      <c r="AJ350" s="3"/>
      <c r="AK350" s="3"/>
      <c r="AL350" s="3"/>
      <c r="AM350" s="3"/>
      <c r="AN350" s="3"/>
    </row>
    <row r="351" spans="3:40">
      <c r="C351" s="3"/>
      <c r="D351" s="3"/>
      <c r="E351" s="3"/>
      <c r="S351" s="3"/>
      <c r="T351" s="3"/>
      <c r="AI351" s="3"/>
      <c r="AJ351" s="3"/>
      <c r="AK351" s="3"/>
      <c r="AL351" s="3"/>
      <c r="AM351" s="3"/>
      <c r="AN351" s="3"/>
    </row>
    <row r="352" spans="3:40">
      <c r="C352" s="3"/>
      <c r="D352" s="3"/>
      <c r="E352" s="3"/>
      <c r="S352" s="3"/>
      <c r="T352" s="3"/>
      <c r="AI352" s="3"/>
      <c r="AJ352" s="3"/>
      <c r="AK352" s="3"/>
      <c r="AL352" s="3"/>
      <c r="AM352" s="3"/>
      <c r="AN352" s="3"/>
    </row>
    <row r="353" spans="3:40">
      <c r="C353" s="3"/>
      <c r="D353" s="3"/>
      <c r="E353" s="3"/>
      <c r="S353" s="3"/>
      <c r="T353" s="3"/>
      <c r="AI353" s="3"/>
      <c r="AJ353" s="3"/>
      <c r="AK353" s="3"/>
      <c r="AL353" s="3"/>
      <c r="AM353" s="3"/>
      <c r="AN353" s="3"/>
    </row>
    <row r="354" spans="3:40">
      <c r="C354" s="3"/>
      <c r="D354" s="3"/>
      <c r="E354" s="3"/>
      <c r="S354" s="3"/>
      <c r="T354" s="3"/>
      <c r="AI354" s="3"/>
      <c r="AJ354" s="3"/>
      <c r="AK354" s="3"/>
      <c r="AL354" s="3"/>
      <c r="AM354" s="3"/>
      <c r="AN354" s="3"/>
    </row>
    <row r="355" spans="3:40">
      <c r="C355" s="3"/>
      <c r="D355" s="3"/>
      <c r="E355" s="3"/>
      <c r="S355" s="3"/>
      <c r="T355" s="3"/>
      <c r="AI355" s="3"/>
      <c r="AJ355" s="3"/>
      <c r="AK355" s="3"/>
      <c r="AL355" s="3"/>
      <c r="AM355" s="3"/>
      <c r="AN355" s="3"/>
    </row>
    <row r="356" spans="3:40">
      <c r="C356" s="3"/>
      <c r="D356" s="3"/>
      <c r="E356" s="3"/>
      <c r="S356" s="3"/>
      <c r="T356" s="3"/>
      <c r="AI356" s="3"/>
      <c r="AJ356" s="3"/>
      <c r="AK356" s="3"/>
      <c r="AL356" s="3"/>
      <c r="AM356" s="3"/>
      <c r="AN356" s="3"/>
    </row>
    <row r="357" spans="3:40">
      <c r="C357" s="3"/>
      <c r="D357" s="3"/>
      <c r="E357" s="3"/>
      <c r="S357" s="3"/>
      <c r="T357" s="3"/>
      <c r="AI357" s="3"/>
      <c r="AJ357" s="3"/>
      <c r="AK357" s="3"/>
      <c r="AL357" s="3"/>
      <c r="AM357" s="3"/>
      <c r="AN357" s="3"/>
    </row>
    <row r="358" spans="3:40">
      <c r="C358" s="3"/>
      <c r="D358" s="3"/>
      <c r="E358" s="3"/>
      <c r="S358" s="3"/>
      <c r="T358" s="3"/>
      <c r="AI358" s="3"/>
      <c r="AJ358" s="3"/>
      <c r="AK358" s="3"/>
      <c r="AL358" s="3"/>
      <c r="AM358" s="3"/>
      <c r="AN358" s="3"/>
    </row>
    <row r="359" spans="3:40">
      <c r="C359" s="3"/>
      <c r="D359" s="3"/>
      <c r="E359" s="3"/>
      <c r="S359" s="3"/>
      <c r="T359" s="3"/>
      <c r="AI359" s="3"/>
      <c r="AJ359" s="3"/>
      <c r="AK359" s="3"/>
      <c r="AL359" s="3"/>
      <c r="AM359" s="3"/>
      <c r="AN359" s="3"/>
    </row>
    <row r="360" spans="3:40">
      <c r="C360" s="3"/>
      <c r="D360" s="3"/>
      <c r="E360" s="3"/>
      <c r="S360" s="3"/>
      <c r="T360" s="3"/>
      <c r="AI360" s="3"/>
      <c r="AJ360" s="3"/>
      <c r="AK360" s="3"/>
      <c r="AL360" s="3"/>
      <c r="AM360" s="3"/>
      <c r="AN360" s="3"/>
    </row>
    <row r="361" spans="3:40">
      <c r="C361" s="3"/>
      <c r="D361" s="3"/>
      <c r="E361" s="3"/>
      <c r="S361" s="3"/>
      <c r="T361" s="3"/>
      <c r="AI361" s="3"/>
      <c r="AJ361" s="3"/>
      <c r="AK361" s="3"/>
      <c r="AL361" s="3"/>
      <c r="AM361" s="3"/>
      <c r="AN361" s="3"/>
    </row>
    <row r="362" spans="3:40">
      <c r="C362" s="3"/>
      <c r="D362" s="3"/>
      <c r="E362" s="3"/>
      <c r="S362" s="3"/>
      <c r="T362" s="3"/>
      <c r="AI362" s="3"/>
      <c r="AJ362" s="3"/>
      <c r="AK362" s="3"/>
      <c r="AL362" s="3"/>
      <c r="AM362" s="3"/>
      <c r="AN362" s="3"/>
    </row>
    <row r="363" spans="3:40">
      <c r="C363" s="3"/>
      <c r="D363" s="3"/>
      <c r="E363" s="3"/>
      <c r="S363" s="3"/>
      <c r="T363" s="3"/>
      <c r="AI363" s="3"/>
      <c r="AJ363" s="3"/>
      <c r="AK363" s="3"/>
      <c r="AL363" s="3"/>
      <c r="AM363" s="3"/>
      <c r="AN363" s="3"/>
    </row>
    <row r="364" spans="3:40">
      <c r="C364" s="3"/>
      <c r="D364" s="3"/>
      <c r="E364" s="3"/>
      <c r="S364" s="3"/>
      <c r="T364" s="3"/>
      <c r="AI364" s="3"/>
      <c r="AJ364" s="3"/>
      <c r="AK364" s="3"/>
      <c r="AL364" s="3"/>
      <c r="AM364" s="3"/>
      <c r="AN364" s="3"/>
    </row>
    <row r="365" spans="3:40">
      <c r="C365" s="3"/>
      <c r="D365" s="3"/>
      <c r="E365" s="3"/>
      <c r="S365" s="3"/>
      <c r="T365" s="3"/>
      <c r="AI365" s="3"/>
      <c r="AJ365" s="3"/>
      <c r="AK365" s="3"/>
      <c r="AL365" s="3"/>
      <c r="AM365" s="3"/>
      <c r="AN365" s="3"/>
    </row>
    <row r="366" spans="3:40">
      <c r="C366" s="3"/>
      <c r="D366" s="3"/>
      <c r="E366" s="3"/>
      <c r="S366" s="3"/>
      <c r="T366" s="3"/>
      <c r="AI366" s="3"/>
      <c r="AJ366" s="3"/>
      <c r="AK366" s="3"/>
      <c r="AL366" s="3"/>
      <c r="AM366" s="3"/>
      <c r="AN366" s="3"/>
    </row>
    <row r="367" spans="3:40">
      <c r="C367" s="3"/>
      <c r="D367" s="3"/>
      <c r="E367" s="3"/>
      <c r="S367" s="3"/>
      <c r="T367" s="3"/>
      <c r="AI367" s="3"/>
      <c r="AJ367" s="3"/>
      <c r="AK367" s="3"/>
      <c r="AL367" s="3"/>
      <c r="AM367" s="3"/>
      <c r="AN367" s="3"/>
    </row>
    <row r="368" spans="3:40">
      <c r="C368" s="3"/>
      <c r="D368" s="3"/>
      <c r="E368" s="3"/>
      <c r="S368" s="3"/>
      <c r="T368" s="3"/>
      <c r="AI368" s="3"/>
      <c r="AJ368" s="3"/>
      <c r="AK368" s="3"/>
      <c r="AL368" s="3"/>
      <c r="AM368" s="3"/>
      <c r="AN368" s="3"/>
    </row>
    <row r="369" spans="3:40">
      <c r="C369" s="3"/>
      <c r="D369" s="3"/>
      <c r="E369" s="3"/>
      <c r="S369" s="3"/>
      <c r="T369" s="3"/>
      <c r="AI369" s="3"/>
      <c r="AJ369" s="3"/>
      <c r="AK369" s="3"/>
      <c r="AL369" s="3"/>
      <c r="AM369" s="3"/>
      <c r="AN369" s="3"/>
    </row>
    <row r="370" spans="3:40">
      <c r="C370" s="3"/>
      <c r="D370" s="3"/>
      <c r="E370" s="3"/>
      <c r="S370" s="3"/>
      <c r="T370" s="3"/>
      <c r="AI370" s="3"/>
      <c r="AJ370" s="3"/>
      <c r="AK370" s="3"/>
      <c r="AL370" s="3"/>
      <c r="AM370" s="3"/>
      <c r="AN370" s="3"/>
    </row>
    <row r="371" spans="3:40">
      <c r="C371" s="3"/>
      <c r="D371" s="3"/>
      <c r="E371" s="3"/>
      <c r="S371" s="3"/>
      <c r="T371" s="3"/>
      <c r="AI371" s="3"/>
      <c r="AJ371" s="3"/>
      <c r="AK371" s="3"/>
      <c r="AL371" s="3"/>
      <c r="AM371" s="3"/>
      <c r="AN371" s="3"/>
    </row>
    <row r="372" spans="3:40">
      <c r="C372" s="3"/>
      <c r="D372" s="3"/>
      <c r="E372" s="3"/>
      <c r="S372" s="3"/>
      <c r="T372" s="3"/>
      <c r="AI372" s="3"/>
      <c r="AJ372" s="3"/>
      <c r="AK372" s="3"/>
      <c r="AL372" s="3"/>
      <c r="AM372" s="3"/>
      <c r="AN372" s="3"/>
    </row>
    <row r="373" spans="3:40">
      <c r="C373" s="3"/>
      <c r="D373" s="3"/>
      <c r="E373" s="3"/>
      <c r="S373" s="3"/>
      <c r="T373" s="3"/>
      <c r="AI373" s="3"/>
      <c r="AJ373" s="3"/>
      <c r="AK373" s="3"/>
      <c r="AL373" s="3"/>
      <c r="AM373" s="3"/>
      <c r="AN373" s="3"/>
    </row>
    <row r="374" spans="3:40">
      <c r="C374" s="3"/>
      <c r="D374" s="3"/>
      <c r="E374" s="3"/>
      <c r="S374" s="3"/>
      <c r="T374" s="3"/>
      <c r="AI374" s="3"/>
      <c r="AJ374" s="3"/>
      <c r="AK374" s="3"/>
      <c r="AL374" s="3"/>
      <c r="AM374" s="3"/>
      <c r="AN374" s="3"/>
    </row>
    <row r="375" spans="3:40">
      <c r="C375" s="3"/>
      <c r="D375" s="3"/>
      <c r="E375" s="3"/>
      <c r="S375" s="3"/>
      <c r="T375" s="3"/>
      <c r="AI375" s="3"/>
      <c r="AJ375" s="3"/>
      <c r="AK375" s="3"/>
      <c r="AL375" s="3"/>
      <c r="AM375" s="3"/>
      <c r="AN375" s="3"/>
    </row>
    <row r="376" spans="3:40">
      <c r="C376" s="3"/>
      <c r="D376" s="3"/>
      <c r="E376" s="3"/>
      <c r="S376" s="3"/>
      <c r="T376" s="3"/>
      <c r="AI376" s="3"/>
      <c r="AJ376" s="3"/>
      <c r="AK376" s="3"/>
      <c r="AL376" s="3"/>
      <c r="AM376" s="3"/>
      <c r="AN376" s="3"/>
    </row>
    <row r="377" spans="3:40">
      <c r="C377" s="3"/>
      <c r="D377" s="3"/>
      <c r="E377" s="3"/>
      <c r="S377" s="3"/>
      <c r="T377" s="3"/>
      <c r="AI377" s="3"/>
      <c r="AJ377" s="3"/>
      <c r="AK377" s="3"/>
      <c r="AL377" s="3"/>
      <c r="AM377" s="3"/>
      <c r="AN377" s="3"/>
    </row>
    <row r="378" spans="3:40">
      <c r="C378" s="3"/>
      <c r="D378" s="3"/>
      <c r="E378" s="3"/>
      <c r="S378" s="3"/>
      <c r="T378" s="3"/>
      <c r="AI378" s="3"/>
      <c r="AJ378" s="3"/>
      <c r="AK378" s="3"/>
      <c r="AL378" s="3"/>
      <c r="AM378" s="3"/>
      <c r="AN378" s="3"/>
    </row>
    <row r="379" spans="3:40">
      <c r="C379" s="3"/>
      <c r="D379" s="3"/>
      <c r="E379" s="3"/>
      <c r="S379" s="3"/>
      <c r="T379" s="3"/>
      <c r="AI379" s="3"/>
      <c r="AJ379" s="3"/>
      <c r="AK379" s="3"/>
      <c r="AL379" s="3"/>
      <c r="AM379" s="3"/>
      <c r="AN379" s="3"/>
    </row>
    <row r="380" spans="3:40">
      <c r="C380" s="3"/>
      <c r="D380" s="3"/>
      <c r="E380" s="3"/>
      <c r="S380" s="3"/>
      <c r="T380" s="3"/>
      <c r="AI380" s="3"/>
      <c r="AJ380" s="3"/>
      <c r="AK380" s="3"/>
      <c r="AL380" s="3"/>
      <c r="AM380" s="3"/>
      <c r="AN380" s="3"/>
    </row>
    <row r="381" spans="3:40">
      <c r="C381" s="3"/>
      <c r="D381" s="3"/>
      <c r="E381" s="3"/>
      <c r="S381" s="3"/>
      <c r="T381" s="3"/>
      <c r="AI381" s="3"/>
      <c r="AJ381" s="3"/>
      <c r="AK381" s="3"/>
      <c r="AL381" s="3"/>
      <c r="AM381" s="3"/>
      <c r="AN381" s="3"/>
    </row>
    <row r="382" spans="3:40">
      <c r="C382" s="3"/>
      <c r="D382" s="3"/>
      <c r="E382" s="3"/>
      <c r="S382" s="3"/>
      <c r="T382" s="3"/>
      <c r="AI382" s="3"/>
      <c r="AJ382" s="3"/>
      <c r="AK382" s="3"/>
      <c r="AL382" s="3"/>
      <c r="AM382" s="3"/>
      <c r="AN382" s="3"/>
    </row>
    <row r="383" spans="3:40">
      <c r="C383" s="3"/>
      <c r="D383" s="3"/>
      <c r="E383" s="3"/>
      <c r="S383" s="3"/>
      <c r="T383" s="3"/>
      <c r="AI383" s="3"/>
      <c r="AJ383" s="3"/>
      <c r="AK383" s="3"/>
      <c r="AL383" s="3"/>
      <c r="AM383" s="3"/>
      <c r="AN383" s="3"/>
    </row>
    <row r="384" spans="3:40">
      <c r="C384" s="3"/>
      <c r="D384" s="3"/>
      <c r="E384" s="3"/>
      <c r="S384" s="3"/>
      <c r="T384" s="3"/>
      <c r="AI384" s="3"/>
      <c r="AJ384" s="3"/>
      <c r="AK384" s="3"/>
      <c r="AL384" s="3"/>
      <c r="AM384" s="3"/>
      <c r="AN384" s="3"/>
    </row>
    <row r="385" spans="3:40">
      <c r="C385" s="3"/>
      <c r="D385" s="3"/>
      <c r="E385" s="3"/>
      <c r="S385" s="3"/>
      <c r="T385" s="3"/>
      <c r="AI385" s="3"/>
      <c r="AJ385" s="3"/>
      <c r="AK385" s="3"/>
      <c r="AL385" s="3"/>
      <c r="AM385" s="3"/>
      <c r="AN385" s="3"/>
    </row>
    <row r="386" spans="3:40">
      <c r="C386" s="3"/>
      <c r="D386" s="3"/>
      <c r="E386" s="3"/>
      <c r="S386" s="3"/>
      <c r="T386" s="3"/>
      <c r="AI386" s="3"/>
      <c r="AJ386" s="3"/>
      <c r="AK386" s="3"/>
      <c r="AL386" s="3"/>
      <c r="AM386" s="3"/>
      <c r="AN386" s="3"/>
    </row>
    <row r="387" spans="3:40">
      <c r="C387" s="3"/>
      <c r="D387" s="3"/>
      <c r="E387" s="3"/>
      <c r="S387" s="3"/>
      <c r="T387" s="3"/>
      <c r="AI387" s="3"/>
      <c r="AJ387" s="3"/>
      <c r="AK387" s="3"/>
      <c r="AL387" s="3"/>
      <c r="AM387" s="3"/>
      <c r="AN387" s="3"/>
    </row>
    <row r="388" spans="3:40">
      <c r="C388" s="3"/>
      <c r="D388" s="3"/>
      <c r="E388" s="3"/>
      <c r="S388" s="3"/>
      <c r="T388" s="3"/>
      <c r="AI388" s="3"/>
      <c r="AJ388" s="3"/>
      <c r="AK388" s="3"/>
      <c r="AL388" s="3"/>
      <c r="AM388" s="3"/>
      <c r="AN388" s="3"/>
    </row>
    <row r="389" spans="3:40">
      <c r="C389" s="3"/>
      <c r="D389" s="3"/>
      <c r="E389" s="3"/>
      <c r="S389" s="3"/>
      <c r="T389" s="3"/>
      <c r="AI389" s="3"/>
      <c r="AJ389" s="3"/>
      <c r="AK389" s="3"/>
      <c r="AL389" s="3"/>
      <c r="AM389" s="3"/>
      <c r="AN389" s="3"/>
    </row>
    <row r="390" spans="3:40">
      <c r="C390" s="3"/>
      <c r="D390" s="3"/>
      <c r="E390" s="3"/>
      <c r="S390" s="3"/>
      <c r="T390" s="3"/>
      <c r="AI390" s="3"/>
      <c r="AJ390" s="3"/>
      <c r="AK390" s="3"/>
      <c r="AL390" s="3"/>
      <c r="AM390" s="3"/>
      <c r="AN390" s="3"/>
    </row>
    <row r="391" spans="3:40">
      <c r="C391" s="3"/>
      <c r="D391" s="3"/>
      <c r="E391" s="3"/>
      <c r="S391" s="3"/>
      <c r="T391" s="3"/>
      <c r="AI391" s="3"/>
      <c r="AJ391" s="3"/>
      <c r="AK391" s="3"/>
      <c r="AL391" s="3"/>
      <c r="AM391" s="3"/>
      <c r="AN391" s="3"/>
    </row>
    <row r="392" spans="3:40">
      <c r="C392" s="3"/>
      <c r="D392" s="3"/>
      <c r="E392" s="3"/>
      <c r="S392" s="3"/>
      <c r="T392" s="3"/>
      <c r="AI392" s="3"/>
      <c r="AJ392" s="3"/>
      <c r="AK392" s="3"/>
      <c r="AL392" s="3"/>
      <c r="AM392" s="3"/>
      <c r="AN392" s="3"/>
    </row>
    <row r="393" spans="3:40">
      <c r="C393" s="3"/>
      <c r="D393" s="3"/>
      <c r="E393" s="3"/>
      <c r="S393" s="3"/>
      <c r="T393" s="3"/>
      <c r="AI393" s="3"/>
      <c r="AJ393" s="3"/>
      <c r="AK393" s="3"/>
      <c r="AL393" s="3"/>
      <c r="AM393" s="3"/>
      <c r="AN393" s="3"/>
    </row>
    <row r="394" spans="3:40">
      <c r="C394" s="3"/>
      <c r="D394" s="3"/>
      <c r="E394" s="3"/>
      <c r="S394" s="3"/>
      <c r="T394" s="3"/>
      <c r="AI394" s="3"/>
      <c r="AJ394" s="3"/>
      <c r="AK394" s="3"/>
      <c r="AL394" s="3"/>
      <c r="AM394" s="3"/>
      <c r="AN394" s="3"/>
    </row>
    <row r="395" spans="3:40">
      <c r="C395" s="3"/>
      <c r="D395" s="3"/>
      <c r="E395" s="3"/>
      <c r="S395" s="3"/>
      <c r="T395" s="3"/>
      <c r="AI395" s="3"/>
      <c r="AJ395" s="3"/>
      <c r="AK395" s="3"/>
      <c r="AL395" s="3"/>
      <c r="AM395" s="3"/>
      <c r="AN395" s="3"/>
    </row>
    <row r="396" spans="3:40">
      <c r="C396" s="3"/>
      <c r="D396" s="3"/>
      <c r="E396" s="3"/>
      <c r="S396" s="3"/>
      <c r="T396" s="3"/>
      <c r="AI396" s="3"/>
      <c r="AJ396" s="3"/>
      <c r="AK396" s="3"/>
      <c r="AL396" s="3"/>
      <c r="AM396" s="3"/>
      <c r="AN396" s="3"/>
    </row>
    <row r="397" spans="3:40">
      <c r="C397" s="3"/>
      <c r="D397" s="3"/>
      <c r="E397" s="3"/>
      <c r="S397" s="3"/>
      <c r="T397" s="3"/>
      <c r="AI397" s="3"/>
      <c r="AJ397" s="3"/>
      <c r="AK397" s="3"/>
      <c r="AL397" s="3"/>
      <c r="AM397" s="3"/>
      <c r="AN397" s="3"/>
    </row>
    <row r="398" spans="3:40">
      <c r="C398" s="3"/>
      <c r="D398" s="3"/>
      <c r="E398" s="3"/>
      <c r="S398" s="3"/>
      <c r="T398" s="3"/>
      <c r="AI398" s="3"/>
      <c r="AJ398" s="3"/>
      <c r="AK398" s="3"/>
      <c r="AL398" s="3"/>
      <c r="AM398" s="3"/>
      <c r="AN398" s="3"/>
    </row>
    <row r="399" spans="3:40">
      <c r="C399" s="3"/>
      <c r="D399" s="3"/>
      <c r="E399" s="3"/>
      <c r="S399" s="3"/>
      <c r="T399" s="3"/>
      <c r="AI399" s="3"/>
      <c r="AJ399" s="3"/>
      <c r="AK399" s="3"/>
      <c r="AL399" s="3"/>
      <c r="AM399" s="3"/>
      <c r="AN399" s="3"/>
    </row>
    <row r="400" spans="3:40">
      <c r="C400" s="3"/>
      <c r="D400" s="3"/>
      <c r="E400" s="3"/>
      <c r="S400" s="3"/>
      <c r="T400" s="3"/>
      <c r="AI400" s="3"/>
      <c r="AJ400" s="3"/>
      <c r="AK400" s="3"/>
      <c r="AL400" s="3"/>
      <c r="AM400" s="3"/>
      <c r="AN400" s="3"/>
    </row>
    <row r="401" spans="3:40">
      <c r="C401" s="3"/>
      <c r="D401" s="3"/>
      <c r="E401" s="3"/>
      <c r="S401" s="3"/>
      <c r="T401" s="3"/>
      <c r="AI401" s="3"/>
      <c r="AJ401" s="3"/>
      <c r="AK401" s="3"/>
      <c r="AL401" s="3"/>
      <c r="AM401" s="3"/>
      <c r="AN401" s="3"/>
    </row>
    <row r="402" spans="3:40">
      <c r="C402" s="3"/>
      <c r="D402" s="3"/>
      <c r="E402" s="3"/>
      <c r="S402" s="3"/>
      <c r="T402" s="3"/>
      <c r="AI402" s="3"/>
      <c r="AJ402" s="3"/>
      <c r="AK402" s="3"/>
      <c r="AL402" s="3"/>
      <c r="AM402" s="3"/>
      <c r="AN402" s="3"/>
    </row>
    <row r="403" spans="3:40">
      <c r="C403" s="3"/>
      <c r="D403" s="3"/>
      <c r="E403" s="3"/>
      <c r="S403" s="3"/>
      <c r="T403" s="3"/>
      <c r="AI403" s="3"/>
      <c r="AJ403" s="3"/>
      <c r="AK403" s="3"/>
      <c r="AL403" s="3"/>
      <c r="AM403" s="3"/>
      <c r="AN403" s="3"/>
    </row>
    <row r="404" spans="3:40">
      <c r="C404" s="3"/>
      <c r="D404" s="3"/>
      <c r="E404" s="3"/>
      <c r="S404" s="3"/>
      <c r="T404" s="3"/>
      <c r="AI404" s="3"/>
      <c r="AJ404" s="3"/>
      <c r="AK404" s="3"/>
      <c r="AL404" s="3"/>
      <c r="AM404" s="3"/>
      <c r="AN404" s="3"/>
    </row>
    <row r="405" spans="3:40">
      <c r="C405" s="3"/>
      <c r="D405" s="3"/>
      <c r="E405" s="3"/>
      <c r="S405" s="3"/>
      <c r="T405" s="3"/>
      <c r="AI405" s="3"/>
      <c r="AJ405" s="3"/>
      <c r="AK405" s="3"/>
      <c r="AL405" s="3"/>
      <c r="AM405" s="3"/>
      <c r="AN405" s="3"/>
    </row>
    <row r="406" spans="3:40">
      <c r="C406" s="3"/>
      <c r="D406" s="3"/>
      <c r="E406" s="3"/>
      <c r="S406" s="3"/>
      <c r="T406" s="3"/>
      <c r="AI406" s="3"/>
      <c r="AJ406" s="3"/>
      <c r="AK406" s="3"/>
      <c r="AL406" s="3"/>
      <c r="AM406" s="3"/>
      <c r="AN406" s="3"/>
    </row>
    <row r="407" spans="3:40">
      <c r="C407" s="3"/>
      <c r="D407" s="3"/>
      <c r="E407" s="3"/>
      <c r="S407" s="3"/>
      <c r="T407" s="3"/>
      <c r="AI407" s="3"/>
      <c r="AJ407" s="3"/>
      <c r="AK407" s="3"/>
      <c r="AL407" s="3"/>
      <c r="AM407" s="3"/>
      <c r="AN407" s="3"/>
    </row>
    <row r="408" spans="3:40">
      <c r="C408" s="3"/>
      <c r="D408" s="3"/>
      <c r="E408" s="3"/>
      <c r="S408" s="3"/>
      <c r="T408" s="3"/>
      <c r="AI408" s="3"/>
      <c r="AJ408" s="3"/>
      <c r="AK408" s="3"/>
      <c r="AL408" s="3"/>
      <c r="AM408" s="3"/>
      <c r="AN408" s="3"/>
    </row>
    <row r="409" spans="3:40">
      <c r="C409" s="3"/>
      <c r="D409" s="3"/>
      <c r="E409" s="3"/>
      <c r="S409" s="3"/>
      <c r="T409" s="3"/>
      <c r="AI409" s="3"/>
      <c r="AJ409" s="3"/>
      <c r="AK409" s="3"/>
      <c r="AL409" s="3"/>
      <c r="AM409" s="3"/>
      <c r="AN409" s="3"/>
    </row>
    <row r="410" spans="3:40">
      <c r="C410" s="3"/>
      <c r="D410" s="3"/>
      <c r="E410" s="3"/>
      <c r="S410" s="3"/>
      <c r="T410" s="3"/>
      <c r="AI410" s="3"/>
      <c r="AJ410" s="3"/>
      <c r="AK410" s="3"/>
      <c r="AL410" s="3"/>
      <c r="AM410" s="3"/>
      <c r="AN410" s="3"/>
    </row>
    <row r="411" spans="3:40">
      <c r="C411" s="3"/>
      <c r="D411" s="3"/>
      <c r="E411" s="3"/>
      <c r="S411" s="3"/>
      <c r="T411" s="3"/>
      <c r="AI411" s="3"/>
      <c r="AJ411" s="3"/>
      <c r="AK411" s="3"/>
      <c r="AL411" s="3"/>
      <c r="AM411" s="3"/>
      <c r="AN411" s="3"/>
    </row>
    <row r="412" spans="3:40">
      <c r="C412" s="3"/>
      <c r="D412" s="3"/>
      <c r="E412" s="3"/>
      <c r="S412" s="3"/>
      <c r="T412" s="3"/>
      <c r="AI412" s="3"/>
      <c r="AJ412" s="3"/>
      <c r="AK412" s="3"/>
      <c r="AL412" s="3"/>
      <c r="AM412" s="3"/>
      <c r="AN412" s="3"/>
    </row>
    <row r="413" spans="3:40">
      <c r="C413" s="3"/>
      <c r="D413" s="3"/>
      <c r="E413" s="3"/>
      <c r="S413" s="3"/>
      <c r="T413" s="3"/>
      <c r="AI413" s="3"/>
      <c r="AJ413" s="3"/>
      <c r="AK413" s="3"/>
      <c r="AL413" s="3"/>
      <c r="AM413" s="3"/>
      <c r="AN413" s="3"/>
    </row>
    <row r="414" spans="3:40">
      <c r="C414" s="3"/>
      <c r="D414" s="3"/>
      <c r="E414" s="3"/>
      <c r="S414" s="3"/>
      <c r="T414" s="3"/>
      <c r="AI414" s="3"/>
      <c r="AJ414" s="3"/>
      <c r="AK414" s="3"/>
      <c r="AL414" s="3"/>
      <c r="AM414" s="3"/>
      <c r="AN414" s="3"/>
    </row>
    <row r="415" spans="3:40">
      <c r="C415" s="3"/>
      <c r="D415" s="3"/>
      <c r="E415" s="3"/>
      <c r="S415" s="3"/>
      <c r="T415" s="3"/>
      <c r="AI415" s="3"/>
      <c r="AJ415" s="3"/>
      <c r="AK415" s="3"/>
      <c r="AL415" s="3"/>
      <c r="AM415" s="3"/>
      <c r="AN415" s="3"/>
    </row>
    <row r="416" spans="3:40">
      <c r="C416" s="3"/>
      <c r="D416" s="3"/>
      <c r="E416" s="3"/>
      <c r="S416" s="3"/>
      <c r="T416" s="3"/>
      <c r="AI416" s="3"/>
      <c r="AJ416" s="3"/>
      <c r="AK416" s="3"/>
      <c r="AL416" s="3"/>
      <c r="AM416" s="3"/>
      <c r="AN416" s="3"/>
    </row>
    <row r="417" spans="3:40">
      <c r="C417" s="3"/>
      <c r="D417" s="3"/>
      <c r="E417" s="3"/>
      <c r="S417" s="3"/>
      <c r="T417" s="3"/>
      <c r="AI417" s="3"/>
      <c r="AJ417" s="3"/>
      <c r="AK417" s="3"/>
      <c r="AL417" s="3"/>
      <c r="AM417" s="3"/>
      <c r="AN417" s="3"/>
    </row>
    <row r="418" spans="3:40">
      <c r="C418" s="3"/>
      <c r="D418" s="3"/>
      <c r="E418" s="3"/>
      <c r="S418" s="3"/>
      <c r="T418" s="3"/>
      <c r="AI418" s="3"/>
      <c r="AJ418" s="3"/>
      <c r="AK418" s="3"/>
      <c r="AL418" s="3"/>
      <c r="AM418" s="3"/>
      <c r="AN418" s="3"/>
    </row>
    <row r="419" spans="3:40">
      <c r="C419" s="3"/>
      <c r="D419" s="3"/>
      <c r="E419" s="3"/>
      <c r="S419" s="3"/>
      <c r="T419" s="3"/>
      <c r="AI419" s="3"/>
      <c r="AJ419" s="3"/>
      <c r="AK419" s="3"/>
      <c r="AL419" s="3"/>
      <c r="AM419" s="3"/>
      <c r="AN419" s="3"/>
    </row>
    <row r="420" spans="3:40">
      <c r="C420" s="3"/>
      <c r="D420" s="3"/>
      <c r="E420" s="3"/>
      <c r="S420" s="3"/>
      <c r="T420" s="3"/>
      <c r="AI420" s="3"/>
      <c r="AJ420" s="3"/>
      <c r="AK420" s="3"/>
      <c r="AL420" s="3"/>
      <c r="AM420" s="3"/>
      <c r="AN420" s="3"/>
    </row>
    <row r="421" spans="3:40">
      <c r="C421" s="3"/>
      <c r="D421" s="3"/>
      <c r="E421" s="3"/>
      <c r="S421" s="3"/>
      <c r="T421" s="3"/>
      <c r="AI421" s="3"/>
      <c r="AJ421" s="3"/>
      <c r="AK421" s="3"/>
      <c r="AL421" s="3"/>
      <c r="AM421" s="3"/>
      <c r="AN421" s="3"/>
    </row>
    <row r="422" spans="3:40">
      <c r="C422" s="3"/>
      <c r="D422" s="3"/>
      <c r="E422" s="3"/>
      <c r="S422" s="3"/>
      <c r="T422" s="3"/>
      <c r="AI422" s="3"/>
      <c r="AJ422" s="3"/>
      <c r="AK422" s="3"/>
      <c r="AL422" s="3"/>
      <c r="AM422" s="3"/>
      <c r="AN422" s="3"/>
    </row>
    <row r="423" spans="3:40">
      <c r="C423" s="3"/>
      <c r="D423" s="3"/>
      <c r="E423" s="3"/>
      <c r="S423" s="3"/>
      <c r="T423" s="3"/>
      <c r="AI423" s="3"/>
      <c r="AJ423" s="3"/>
      <c r="AK423" s="3"/>
      <c r="AL423" s="3"/>
      <c r="AM423" s="3"/>
      <c r="AN423" s="3"/>
    </row>
    <row r="424" spans="3:40">
      <c r="C424" s="3"/>
      <c r="D424" s="3"/>
      <c r="E424" s="3"/>
      <c r="S424" s="3"/>
      <c r="T424" s="3"/>
      <c r="AI424" s="3"/>
      <c r="AJ424" s="3"/>
      <c r="AK424" s="3"/>
      <c r="AL424" s="3"/>
      <c r="AM424" s="3"/>
      <c r="AN424" s="3"/>
    </row>
    <row r="425" spans="3:40">
      <c r="C425" s="3"/>
      <c r="D425" s="3"/>
      <c r="E425" s="3"/>
      <c r="S425" s="3"/>
      <c r="T425" s="3"/>
      <c r="AI425" s="3"/>
      <c r="AJ425" s="3"/>
      <c r="AK425" s="3"/>
      <c r="AL425" s="3"/>
      <c r="AM425" s="3"/>
      <c r="AN425" s="3"/>
    </row>
    <row r="426" spans="3:40">
      <c r="C426" s="3"/>
      <c r="D426" s="3"/>
      <c r="E426" s="3"/>
      <c r="S426" s="3"/>
      <c r="T426" s="3"/>
      <c r="AI426" s="3"/>
      <c r="AJ426" s="3"/>
      <c r="AK426" s="3"/>
      <c r="AL426" s="3"/>
      <c r="AM426" s="3"/>
      <c r="AN426" s="3"/>
    </row>
    <row r="427" spans="3:40">
      <c r="C427" s="3"/>
      <c r="D427" s="3"/>
      <c r="E427" s="3"/>
      <c r="S427" s="3"/>
      <c r="T427" s="3"/>
      <c r="AI427" s="3"/>
      <c r="AJ427" s="3"/>
      <c r="AK427" s="3"/>
      <c r="AL427" s="3"/>
      <c r="AM427" s="3"/>
      <c r="AN427" s="3"/>
    </row>
    <row r="428" spans="3:40">
      <c r="C428" s="3"/>
      <c r="D428" s="3"/>
      <c r="E428" s="3"/>
      <c r="S428" s="3"/>
      <c r="T428" s="3"/>
      <c r="AI428" s="3"/>
      <c r="AJ428" s="3"/>
      <c r="AK428" s="3"/>
      <c r="AL428" s="3"/>
      <c r="AM428" s="3"/>
      <c r="AN428" s="3"/>
    </row>
    <row r="429" spans="3:40">
      <c r="C429" s="3"/>
      <c r="D429" s="3"/>
      <c r="E429" s="3"/>
      <c r="S429" s="3"/>
      <c r="T429" s="3"/>
      <c r="AI429" s="3"/>
      <c r="AJ429" s="3"/>
      <c r="AK429" s="3"/>
      <c r="AL429" s="3"/>
      <c r="AM429" s="3"/>
      <c r="AN429" s="3"/>
    </row>
    <row r="430" spans="3:40">
      <c r="C430" s="3"/>
      <c r="D430" s="3"/>
      <c r="E430" s="3"/>
      <c r="S430" s="3"/>
      <c r="T430" s="3"/>
      <c r="AI430" s="3"/>
      <c r="AJ430" s="3"/>
      <c r="AK430" s="3"/>
      <c r="AL430" s="3"/>
      <c r="AM430" s="3"/>
      <c r="AN430" s="3"/>
    </row>
    <row r="431" spans="3:40">
      <c r="C431" s="3"/>
      <c r="D431" s="3"/>
      <c r="E431" s="3"/>
      <c r="S431" s="3"/>
      <c r="T431" s="3"/>
      <c r="AI431" s="3"/>
      <c r="AJ431" s="3"/>
      <c r="AK431" s="3"/>
      <c r="AL431" s="3"/>
      <c r="AM431" s="3"/>
      <c r="AN431" s="3"/>
    </row>
    <row r="432" spans="3:40">
      <c r="C432" s="3"/>
      <c r="D432" s="3"/>
      <c r="E432" s="3"/>
      <c r="S432" s="3"/>
      <c r="T432" s="3"/>
      <c r="AI432" s="3"/>
      <c r="AJ432" s="3"/>
      <c r="AK432" s="3"/>
      <c r="AL432" s="3"/>
      <c r="AM432" s="3"/>
      <c r="AN432" s="3"/>
    </row>
    <row r="433" spans="3:40">
      <c r="C433" s="3"/>
      <c r="D433" s="3"/>
      <c r="E433" s="3"/>
      <c r="S433" s="3"/>
      <c r="T433" s="3"/>
      <c r="AI433" s="3"/>
      <c r="AJ433" s="3"/>
      <c r="AK433" s="3"/>
      <c r="AL433" s="3"/>
      <c r="AM433" s="3"/>
      <c r="AN433" s="3"/>
    </row>
    <row r="434" spans="3:40">
      <c r="C434" s="3"/>
      <c r="D434" s="3"/>
      <c r="E434" s="3"/>
      <c r="S434" s="3"/>
      <c r="T434" s="3"/>
      <c r="AI434" s="3"/>
      <c r="AJ434" s="3"/>
      <c r="AK434" s="3"/>
      <c r="AL434" s="3"/>
      <c r="AM434" s="3"/>
      <c r="AN434" s="3"/>
    </row>
    <row r="435" spans="3:40">
      <c r="C435" s="3"/>
      <c r="D435" s="3"/>
      <c r="E435" s="3"/>
      <c r="S435" s="3"/>
      <c r="T435" s="3"/>
      <c r="AI435" s="3"/>
      <c r="AJ435" s="3"/>
      <c r="AK435" s="3"/>
      <c r="AL435" s="3"/>
      <c r="AM435" s="3"/>
      <c r="AN435" s="3"/>
    </row>
    <row r="436" spans="3:40">
      <c r="C436" s="3"/>
      <c r="D436" s="3"/>
      <c r="E436" s="3"/>
      <c r="S436" s="3"/>
      <c r="T436" s="3"/>
      <c r="AI436" s="3"/>
      <c r="AJ436" s="3"/>
      <c r="AK436" s="3"/>
      <c r="AL436" s="3"/>
      <c r="AM436" s="3"/>
      <c r="AN436" s="3"/>
    </row>
    <row r="437" spans="3:40">
      <c r="C437" s="3"/>
      <c r="D437" s="3"/>
      <c r="E437" s="3"/>
      <c r="S437" s="3"/>
      <c r="T437" s="3"/>
      <c r="AI437" s="3"/>
      <c r="AJ437" s="3"/>
      <c r="AK437" s="3"/>
      <c r="AL437" s="3"/>
      <c r="AM437" s="3"/>
      <c r="AN437" s="3"/>
    </row>
    <row r="438" spans="3:40">
      <c r="C438" s="3"/>
      <c r="D438" s="3"/>
      <c r="E438" s="3"/>
      <c r="S438" s="3"/>
      <c r="T438" s="3"/>
      <c r="AI438" s="3"/>
      <c r="AJ438" s="3"/>
      <c r="AK438" s="3"/>
      <c r="AL438" s="3"/>
      <c r="AM438" s="3"/>
      <c r="AN438" s="3"/>
    </row>
    <row r="439" spans="3:40">
      <c r="C439" s="3"/>
      <c r="D439" s="3"/>
      <c r="E439" s="3"/>
      <c r="S439" s="3"/>
      <c r="T439" s="3"/>
      <c r="AI439" s="3"/>
      <c r="AJ439" s="3"/>
      <c r="AK439" s="3"/>
      <c r="AL439" s="3"/>
      <c r="AM439" s="3"/>
      <c r="AN439" s="3"/>
    </row>
    <row r="440" spans="3:40">
      <c r="C440" s="3"/>
      <c r="D440" s="3"/>
      <c r="E440" s="3"/>
      <c r="S440" s="3"/>
      <c r="T440" s="3"/>
      <c r="AI440" s="3"/>
      <c r="AJ440" s="3"/>
      <c r="AK440" s="3"/>
      <c r="AL440" s="3"/>
      <c r="AM440" s="3"/>
      <c r="AN440" s="3"/>
    </row>
    <row r="441" spans="3:40">
      <c r="C441" s="3"/>
      <c r="D441" s="3"/>
      <c r="E441" s="3"/>
      <c r="S441" s="3"/>
      <c r="T441" s="3"/>
      <c r="AI441" s="3"/>
      <c r="AJ441" s="3"/>
      <c r="AK441" s="3"/>
      <c r="AL441" s="3"/>
      <c r="AM441" s="3"/>
      <c r="AN441" s="3"/>
    </row>
    <row r="442" spans="3:40">
      <c r="C442" s="3"/>
      <c r="D442" s="3"/>
      <c r="E442" s="3"/>
      <c r="S442" s="3"/>
      <c r="T442" s="3"/>
      <c r="AI442" s="3"/>
      <c r="AJ442" s="3"/>
      <c r="AK442" s="3"/>
      <c r="AL442" s="3"/>
      <c r="AM442" s="3"/>
      <c r="AN442" s="3"/>
    </row>
    <row r="443" spans="3:40">
      <c r="C443" s="3"/>
      <c r="D443" s="3"/>
      <c r="E443" s="3"/>
      <c r="S443" s="3"/>
      <c r="T443" s="3"/>
      <c r="AI443" s="3"/>
      <c r="AJ443" s="3"/>
      <c r="AK443" s="3"/>
      <c r="AL443" s="3"/>
      <c r="AM443" s="3"/>
      <c r="AN443" s="3"/>
    </row>
    <row r="444" spans="3:40">
      <c r="C444" s="3"/>
      <c r="D444" s="3"/>
      <c r="E444" s="3"/>
      <c r="S444" s="3"/>
      <c r="T444" s="3"/>
      <c r="AI444" s="3"/>
      <c r="AJ444" s="3"/>
      <c r="AK444" s="3"/>
      <c r="AL444" s="3"/>
      <c r="AM444" s="3"/>
      <c r="AN444" s="3"/>
    </row>
    <row r="445" spans="3:40">
      <c r="C445" s="3"/>
      <c r="D445" s="3"/>
      <c r="E445" s="3"/>
      <c r="S445" s="3"/>
      <c r="T445" s="3"/>
      <c r="AI445" s="3"/>
      <c r="AJ445" s="3"/>
      <c r="AK445" s="3"/>
      <c r="AL445" s="3"/>
      <c r="AM445" s="3"/>
      <c r="AN445" s="3"/>
    </row>
    <row r="446" spans="3:40">
      <c r="C446" s="3"/>
      <c r="D446" s="3"/>
      <c r="E446" s="3"/>
      <c r="S446" s="3"/>
      <c r="T446" s="3"/>
      <c r="AI446" s="3"/>
      <c r="AJ446" s="3"/>
      <c r="AK446" s="3"/>
      <c r="AL446" s="3"/>
      <c r="AM446" s="3"/>
      <c r="AN446" s="3"/>
    </row>
    <row r="447" spans="3:40">
      <c r="C447" s="3"/>
      <c r="D447" s="3"/>
      <c r="E447" s="3"/>
      <c r="S447" s="3"/>
      <c r="T447" s="3"/>
      <c r="AI447" s="3"/>
      <c r="AJ447" s="3"/>
      <c r="AK447" s="3"/>
      <c r="AL447" s="3"/>
      <c r="AM447" s="3"/>
      <c r="AN447" s="3"/>
    </row>
    <row r="448" spans="3:40">
      <c r="C448" s="3"/>
      <c r="D448" s="3"/>
      <c r="E448" s="3"/>
      <c r="S448" s="3"/>
      <c r="T448" s="3"/>
      <c r="AI448" s="3"/>
      <c r="AJ448" s="3"/>
      <c r="AK448" s="3"/>
      <c r="AL448" s="3"/>
      <c r="AM448" s="3"/>
      <c r="AN448" s="3"/>
    </row>
    <row r="449" spans="3:40">
      <c r="C449" s="3"/>
      <c r="D449" s="3"/>
      <c r="E449" s="3"/>
      <c r="S449" s="3"/>
      <c r="T449" s="3"/>
      <c r="AI449" s="3"/>
      <c r="AJ449" s="3"/>
      <c r="AK449" s="3"/>
      <c r="AL449" s="3"/>
      <c r="AM449" s="3"/>
      <c r="AN449" s="3"/>
    </row>
    <row r="450" spans="3:40">
      <c r="C450" s="3"/>
      <c r="D450" s="3"/>
      <c r="E450" s="3"/>
      <c r="S450" s="3"/>
      <c r="T450" s="3"/>
      <c r="AI450" s="3"/>
      <c r="AJ450" s="3"/>
      <c r="AK450" s="3"/>
      <c r="AL450" s="3"/>
      <c r="AM450" s="3"/>
      <c r="AN450" s="3"/>
    </row>
    <row r="451" spans="3:40">
      <c r="C451" s="3"/>
      <c r="D451" s="3"/>
      <c r="E451" s="3"/>
      <c r="S451" s="3"/>
      <c r="T451" s="3"/>
      <c r="AI451" s="3"/>
      <c r="AJ451" s="3"/>
      <c r="AK451" s="3"/>
      <c r="AL451" s="3"/>
      <c r="AM451" s="3"/>
      <c r="AN451" s="3"/>
    </row>
    <row r="452" spans="3:40">
      <c r="C452" s="3"/>
      <c r="D452" s="3"/>
      <c r="E452" s="3"/>
      <c r="S452" s="3"/>
      <c r="T452" s="3"/>
      <c r="AI452" s="3"/>
      <c r="AJ452" s="3"/>
      <c r="AK452" s="3"/>
      <c r="AL452" s="3"/>
      <c r="AM452" s="3"/>
      <c r="AN452" s="3"/>
    </row>
    <row r="453" spans="3:40">
      <c r="C453" s="3"/>
      <c r="D453" s="3"/>
      <c r="E453" s="3"/>
      <c r="S453" s="3"/>
      <c r="T453" s="3"/>
      <c r="AI453" s="3"/>
      <c r="AJ453" s="3"/>
      <c r="AK453" s="3"/>
      <c r="AL453" s="3"/>
      <c r="AM453" s="3"/>
      <c r="AN453" s="3"/>
    </row>
    <row r="454" spans="3:40">
      <c r="C454" s="3"/>
      <c r="D454" s="3"/>
      <c r="E454" s="3"/>
      <c r="S454" s="3"/>
      <c r="T454" s="3"/>
      <c r="AI454" s="3"/>
      <c r="AJ454" s="3"/>
      <c r="AK454" s="3"/>
      <c r="AL454" s="3"/>
      <c r="AM454" s="3"/>
      <c r="AN454" s="3"/>
    </row>
    <row r="455" spans="3:40">
      <c r="C455" s="3"/>
      <c r="D455" s="3"/>
      <c r="E455" s="3"/>
      <c r="S455" s="3"/>
      <c r="T455" s="3"/>
      <c r="AI455" s="3"/>
      <c r="AJ455" s="3"/>
      <c r="AK455" s="3"/>
      <c r="AL455" s="3"/>
      <c r="AM455" s="3"/>
      <c r="AN455" s="3"/>
    </row>
    <row r="456" spans="3:40">
      <c r="C456" s="3"/>
      <c r="D456" s="3"/>
      <c r="E456" s="3"/>
      <c r="S456" s="3"/>
      <c r="T456" s="3"/>
      <c r="AI456" s="3"/>
      <c r="AJ456" s="3"/>
      <c r="AK456" s="3"/>
      <c r="AL456" s="3"/>
      <c r="AM456" s="3"/>
      <c r="AN456" s="3"/>
    </row>
    <row r="457" spans="3:40">
      <c r="C457" s="3"/>
      <c r="D457" s="3"/>
      <c r="E457" s="3"/>
      <c r="S457" s="3"/>
      <c r="T457" s="3"/>
      <c r="AI457" s="3"/>
      <c r="AJ457" s="3"/>
      <c r="AK457" s="3"/>
      <c r="AL457" s="3"/>
      <c r="AM457" s="3"/>
      <c r="AN457" s="3"/>
    </row>
    <row r="458" spans="3:40">
      <c r="C458" s="3"/>
      <c r="D458" s="3"/>
      <c r="E458" s="3"/>
      <c r="S458" s="3"/>
      <c r="T458" s="3"/>
      <c r="AI458" s="3"/>
      <c r="AJ458" s="3"/>
      <c r="AK458" s="3"/>
      <c r="AL458" s="3"/>
      <c r="AM458" s="3"/>
      <c r="AN458" s="3"/>
    </row>
    <row r="459" spans="3:40">
      <c r="C459" s="3"/>
      <c r="D459" s="3"/>
      <c r="E459" s="3"/>
      <c r="S459" s="3"/>
      <c r="T459" s="3"/>
      <c r="AI459" s="3"/>
      <c r="AJ459" s="3"/>
      <c r="AK459" s="3"/>
      <c r="AL459" s="3"/>
      <c r="AM459" s="3"/>
      <c r="AN459" s="3"/>
    </row>
    <row r="460" spans="3:40">
      <c r="C460" s="3"/>
      <c r="D460" s="3"/>
      <c r="E460" s="3"/>
      <c r="S460" s="3"/>
      <c r="T460" s="3"/>
      <c r="AI460" s="3"/>
      <c r="AJ460" s="3"/>
      <c r="AK460" s="3"/>
      <c r="AL460" s="3"/>
      <c r="AM460" s="3"/>
      <c r="AN460" s="3"/>
    </row>
    <row r="461" spans="3:40">
      <c r="C461" s="3"/>
      <c r="D461" s="3"/>
      <c r="E461" s="3"/>
      <c r="S461" s="3"/>
      <c r="T461" s="3"/>
      <c r="AI461" s="3"/>
      <c r="AJ461" s="3"/>
      <c r="AK461" s="3"/>
      <c r="AL461" s="3"/>
      <c r="AM461" s="3"/>
      <c r="AN461" s="3"/>
    </row>
    <row r="462" spans="3:40">
      <c r="C462" s="3"/>
      <c r="D462" s="3"/>
      <c r="E462" s="3"/>
      <c r="S462" s="3"/>
      <c r="T462" s="3"/>
      <c r="AI462" s="3"/>
      <c r="AJ462" s="3"/>
      <c r="AK462" s="3"/>
      <c r="AL462" s="3"/>
      <c r="AM462" s="3"/>
      <c r="AN462" s="3"/>
    </row>
    <row r="463" spans="3:40">
      <c r="C463" s="3"/>
      <c r="D463" s="3"/>
      <c r="E463" s="3"/>
      <c r="S463" s="3"/>
      <c r="T463" s="3"/>
      <c r="AI463" s="3"/>
      <c r="AJ463" s="3"/>
      <c r="AK463" s="3"/>
      <c r="AL463" s="3"/>
      <c r="AM463" s="3"/>
      <c r="AN463" s="3"/>
    </row>
    <row r="464" spans="3:40">
      <c r="C464" s="3"/>
      <c r="D464" s="3"/>
      <c r="E464" s="3"/>
      <c r="S464" s="3"/>
      <c r="T464" s="3"/>
      <c r="AI464" s="3"/>
      <c r="AJ464" s="3"/>
      <c r="AK464" s="3"/>
      <c r="AL464" s="3"/>
      <c r="AM464" s="3"/>
      <c r="AN464" s="3"/>
    </row>
    <row r="465" spans="3:40">
      <c r="C465" s="3"/>
      <c r="D465" s="3"/>
      <c r="E465" s="3"/>
      <c r="S465" s="3"/>
      <c r="T465" s="3"/>
      <c r="AI465" s="3"/>
      <c r="AJ465" s="3"/>
      <c r="AK465" s="3"/>
      <c r="AL465" s="3"/>
      <c r="AM465" s="3"/>
      <c r="AN465" s="3"/>
    </row>
    <row r="466" spans="3:40">
      <c r="C466" s="3"/>
      <c r="D466" s="3"/>
      <c r="E466" s="3"/>
      <c r="S466" s="3"/>
      <c r="T466" s="3"/>
      <c r="AI466" s="3"/>
      <c r="AJ466" s="3"/>
      <c r="AK466" s="3"/>
      <c r="AL466" s="3"/>
      <c r="AM466" s="3"/>
      <c r="AN466" s="3"/>
    </row>
    <row r="467" spans="3:40">
      <c r="C467" s="3"/>
      <c r="D467" s="3"/>
      <c r="E467" s="3"/>
      <c r="S467" s="3"/>
      <c r="T467" s="3"/>
      <c r="AI467" s="3"/>
      <c r="AJ467" s="3"/>
      <c r="AK467" s="3"/>
      <c r="AL467" s="3"/>
      <c r="AM467" s="3"/>
      <c r="AN467" s="3"/>
    </row>
    <row r="468" spans="3:40">
      <c r="C468" s="3"/>
      <c r="D468" s="3"/>
      <c r="E468" s="3"/>
      <c r="S468" s="3"/>
      <c r="T468" s="3"/>
      <c r="AI468" s="3"/>
      <c r="AJ468" s="3"/>
      <c r="AK468" s="3"/>
      <c r="AL468" s="3"/>
      <c r="AM468" s="3"/>
      <c r="AN468" s="3"/>
    </row>
    <row r="469" spans="3:40">
      <c r="C469" s="3"/>
      <c r="D469" s="3"/>
      <c r="E469" s="3"/>
      <c r="S469" s="3"/>
      <c r="T469" s="3"/>
      <c r="AI469" s="3"/>
      <c r="AJ469" s="3"/>
      <c r="AK469" s="3"/>
      <c r="AL469" s="3"/>
      <c r="AM469" s="3"/>
      <c r="AN469" s="3"/>
    </row>
    <row r="470" spans="3:40">
      <c r="C470" s="3"/>
      <c r="D470" s="3"/>
      <c r="E470" s="3"/>
      <c r="S470" s="3"/>
      <c r="T470" s="3"/>
      <c r="AI470" s="3"/>
      <c r="AJ470" s="3"/>
      <c r="AK470" s="3"/>
      <c r="AL470" s="3"/>
      <c r="AM470" s="3"/>
      <c r="AN470" s="3"/>
    </row>
    <row r="471" spans="3:40">
      <c r="C471" s="3"/>
      <c r="D471" s="3"/>
      <c r="E471" s="3"/>
      <c r="S471" s="3"/>
      <c r="T471" s="3"/>
      <c r="AI471" s="3"/>
      <c r="AJ471" s="3"/>
      <c r="AK471" s="3"/>
      <c r="AL471" s="3"/>
      <c r="AM471" s="3"/>
      <c r="AN471" s="3"/>
    </row>
    <row r="472" spans="3:40">
      <c r="C472" s="3"/>
      <c r="D472" s="3"/>
      <c r="E472" s="3"/>
      <c r="S472" s="3"/>
      <c r="T472" s="3"/>
      <c r="AI472" s="3"/>
      <c r="AJ472" s="3"/>
      <c r="AK472" s="3"/>
      <c r="AL472" s="3"/>
      <c r="AM472" s="3"/>
      <c r="AN472" s="3"/>
    </row>
    <row r="473" spans="3:40">
      <c r="C473" s="3"/>
      <c r="D473" s="3"/>
      <c r="E473" s="3"/>
      <c r="S473" s="3"/>
      <c r="T473" s="3"/>
      <c r="AI473" s="3"/>
      <c r="AJ473" s="3"/>
      <c r="AK473" s="3"/>
      <c r="AL473" s="3"/>
      <c r="AM473" s="3"/>
      <c r="AN473" s="3"/>
    </row>
    <row r="474" spans="3:40">
      <c r="C474" s="3"/>
      <c r="D474" s="3"/>
      <c r="E474" s="3"/>
      <c r="S474" s="3"/>
      <c r="T474" s="3"/>
      <c r="AI474" s="3"/>
      <c r="AJ474" s="3"/>
      <c r="AK474" s="3"/>
      <c r="AL474" s="3"/>
      <c r="AM474" s="3"/>
      <c r="AN474" s="3"/>
    </row>
    <row r="475" spans="3:40">
      <c r="C475" s="3"/>
      <c r="D475" s="3"/>
      <c r="E475" s="3"/>
      <c r="S475" s="3"/>
      <c r="T475" s="3"/>
      <c r="AI475" s="3"/>
      <c r="AJ475" s="3"/>
      <c r="AK475" s="3"/>
      <c r="AL475" s="3"/>
      <c r="AM475" s="3"/>
      <c r="AN475" s="3"/>
    </row>
    <row r="476" spans="3:40">
      <c r="C476" s="3"/>
      <c r="D476" s="3"/>
      <c r="E476" s="3"/>
      <c r="S476" s="3"/>
      <c r="T476" s="3"/>
      <c r="AI476" s="3"/>
      <c r="AJ476" s="3"/>
      <c r="AK476" s="3"/>
      <c r="AL476" s="3"/>
      <c r="AM476" s="3"/>
      <c r="AN476" s="3"/>
    </row>
    <row r="477" spans="3:40">
      <c r="C477" s="3"/>
      <c r="D477" s="3"/>
      <c r="E477" s="3"/>
      <c r="S477" s="3"/>
      <c r="T477" s="3"/>
      <c r="AI477" s="3"/>
      <c r="AJ477" s="3"/>
      <c r="AK477" s="3"/>
      <c r="AL477" s="3"/>
      <c r="AM477" s="3"/>
      <c r="AN477" s="3"/>
    </row>
    <row r="478" spans="3:40">
      <c r="C478" s="3"/>
      <c r="D478" s="3"/>
      <c r="E478" s="3"/>
      <c r="S478" s="3"/>
      <c r="T478" s="3"/>
      <c r="AI478" s="3"/>
      <c r="AJ478" s="3"/>
      <c r="AK478" s="3"/>
      <c r="AL478" s="3"/>
      <c r="AM478" s="3"/>
      <c r="AN478" s="3"/>
    </row>
    <row r="479" spans="3:40">
      <c r="C479" s="3"/>
      <c r="D479" s="3"/>
      <c r="E479" s="3"/>
      <c r="S479" s="3"/>
      <c r="T479" s="3"/>
      <c r="AI479" s="3"/>
      <c r="AJ479" s="3"/>
      <c r="AK479" s="3"/>
      <c r="AL479" s="3"/>
      <c r="AM479" s="3"/>
      <c r="AN479" s="3"/>
    </row>
    <row r="480" spans="3:40">
      <c r="C480" s="3"/>
      <c r="D480" s="3"/>
      <c r="E480" s="3"/>
      <c r="S480" s="3"/>
      <c r="T480" s="3"/>
      <c r="AI480" s="3"/>
      <c r="AJ480" s="3"/>
      <c r="AK480" s="3"/>
      <c r="AL480" s="3"/>
      <c r="AM480" s="3"/>
      <c r="AN480" s="3"/>
    </row>
    <row r="481" spans="3:40">
      <c r="C481" s="3"/>
      <c r="D481" s="3"/>
      <c r="E481" s="3"/>
      <c r="S481" s="3"/>
      <c r="T481" s="3"/>
      <c r="AI481" s="3"/>
      <c r="AJ481" s="3"/>
      <c r="AK481" s="3"/>
      <c r="AL481" s="3"/>
      <c r="AM481" s="3"/>
      <c r="AN481" s="3"/>
    </row>
    <row r="482" spans="3:40">
      <c r="C482" s="3"/>
      <c r="D482" s="3"/>
      <c r="E482" s="3"/>
      <c r="S482" s="3"/>
      <c r="T482" s="3"/>
      <c r="AI482" s="3"/>
      <c r="AJ482" s="3"/>
      <c r="AK482" s="3"/>
      <c r="AL482" s="3"/>
      <c r="AM482" s="3"/>
      <c r="AN482" s="3"/>
    </row>
    <row r="483" spans="3:40">
      <c r="C483" s="3"/>
      <c r="D483" s="3"/>
      <c r="E483" s="3"/>
      <c r="S483" s="3"/>
      <c r="T483" s="3"/>
      <c r="AI483" s="3"/>
      <c r="AJ483" s="3"/>
      <c r="AK483" s="3"/>
      <c r="AL483" s="3"/>
      <c r="AM483" s="3"/>
      <c r="AN483" s="3"/>
    </row>
    <row r="484" spans="3:40">
      <c r="C484" s="3"/>
      <c r="D484" s="3"/>
      <c r="E484" s="3"/>
      <c r="S484" s="3"/>
      <c r="T484" s="3"/>
      <c r="AI484" s="3"/>
      <c r="AJ484" s="3"/>
      <c r="AK484" s="3"/>
      <c r="AL484" s="3"/>
      <c r="AM484" s="3"/>
      <c r="AN484" s="3"/>
    </row>
    <row r="485" spans="3:40">
      <c r="C485" s="3"/>
      <c r="D485" s="3"/>
      <c r="E485" s="3"/>
      <c r="S485" s="3"/>
      <c r="T485" s="3"/>
      <c r="AI485" s="3"/>
      <c r="AJ485" s="3"/>
      <c r="AK485" s="3"/>
      <c r="AL485" s="3"/>
      <c r="AM485" s="3"/>
      <c r="AN485" s="3"/>
    </row>
    <row r="486" spans="3:40">
      <c r="C486" s="3"/>
      <c r="D486" s="3"/>
      <c r="E486" s="3"/>
      <c r="S486" s="3"/>
      <c r="T486" s="3"/>
      <c r="AI486" s="3"/>
      <c r="AJ486" s="3"/>
      <c r="AK486" s="3"/>
      <c r="AL486" s="3"/>
      <c r="AM486" s="3"/>
      <c r="AN486" s="3"/>
    </row>
    <row r="487" spans="3:40">
      <c r="C487" s="3"/>
      <c r="D487" s="3"/>
      <c r="E487" s="3"/>
      <c r="S487" s="3"/>
      <c r="T487" s="3"/>
      <c r="AI487" s="3"/>
      <c r="AJ487" s="3"/>
      <c r="AK487" s="3"/>
      <c r="AL487" s="3"/>
      <c r="AM487" s="3"/>
      <c r="AN487" s="3"/>
    </row>
    <row r="488" spans="3:40">
      <c r="C488" s="3"/>
      <c r="D488" s="3"/>
      <c r="E488" s="3"/>
      <c r="S488" s="3"/>
      <c r="T488" s="3"/>
      <c r="AI488" s="3"/>
      <c r="AJ488" s="3"/>
      <c r="AK488" s="3"/>
      <c r="AL488" s="3"/>
      <c r="AM488" s="3"/>
      <c r="AN488" s="3"/>
    </row>
    <row r="489" spans="3:40">
      <c r="C489" s="3"/>
      <c r="D489" s="3"/>
      <c r="E489" s="3"/>
      <c r="S489" s="3"/>
      <c r="T489" s="3"/>
      <c r="AI489" s="3"/>
      <c r="AJ489" s="3"/>
      <c r="AK489" s="3"/>
      <c r="AL489" s="3"/>
      <c r="AM489" s="3"/>
      <c r="AN489" s="3"/>
    </row>
    <row r="490" spans="3:40">
      <c r="C490" s="3"/>
      <c r="D490" s="3"/>
      <c r="E490" s="3"/>
      <c r="S490" s="3"/>
      <c r="T490" s="3"/>
      <c r="AI490" s="3"/>
      <c r="AJ490" s="3"/>
      <c r="AK490" s="3"/>
      <c r="AL490" s="3"/>
      <c r="AM490" s="3"/>
      <c r="AN490" s="3"/>
    </row>
    <row r="491" spans="3:40">
      <c r="C491" s="3"/>
      <c r="D491" s="3"/>
      <c r="E491" s="3"/>
      <c r="S491" s="3"/>
      <c r="T491" s="3"/>
      <c r="AI491" s="3"/>
      <c r="AJ491" s="3"/>
      <c r="AK491" s="3"/>
      <c r="AL491" s="3"/>
      <c r="AM491" s="3"/>
      <c r="AN491" s="3"/>
    </row>
    <row r="492" spans="3:40">
      <c r="C492" s="3"/>
      <c r="D492" s="3"/>
      <c r="E492" s="3"/>
      <c r="S492" s="3"/>
      <c r="T492" s="3"/>
      <c r="AI492" s="3"/>
      <c r="AJ492" s="3"/>
      <c r="AK492" s="3"/>
      <c r="AL492" s="3"/>
      <c r="AM492" s="3"/>
      <c r="AN492" s="3"/>
    </row>
    <row r="493" spans="3:40">
      <c r="C493" s="3"/>
      <c r="D493" s="3"/>
      <c r="E493" s="3"/>
      <c r="S493" s="3"/>
      <c r="T493" s="3"/>
      <c r="AI493" s="3"/>
      <c r="AJ493" s="3"/>
      <c r="AK493" s="3"/>
      <c r="AL493" s="3"/>
      <c r="AM493" s="3"/>
      <c r="AN493" s="3"/>
    </row>
    <row r="494" spans="3:40">
      <c r="C494" s="3"/>
      <c r="D494" s="3"/>
      <c r="E494" s="3"/>
      <c r="S494" s="3"/>
      <c r="T494" s="3"/>
      <c r="AI494" s="3"/>
      <c r="AJ494" s="3"/>
      <c r="AK494" s="3"/>
      <c r="AL494" s="3"/>
      <c r="AM494" s="3"/>
      <c r="AN494" s="3"/>
    </row>
    <row r="495" spans="3:40">
      <c r="C495" s="3"/>
      <c r="D495" s="3"/>
      <c r="E495" s="3"/>
      <c r="S495" s="3"/>
      <c r="T495" s="3"/>
      <c r="AI495" s="3"/>
      <c r="AJ495" s="3"/>
      <c r="AK495" s="3"/>
      <c r="AL495" s="3"/>
      <c r="AM495" s="3"/>
      <c r="AN495" s="3"/>
    </row>
    <row r="496" spans="3:40">
      <c r="C496" s="3"/>
      <c r="D496" s="3"/>
      <c r="E496" s="3"/>
      <c r="S496" s="3"/>
      <c r="T496" s="3"/>
      <c r="AI496" s="3"/>
      <c r="AJ496" s="3"/>
      <c r="AK496" s="3"/>
      <c r="AL496" s="3"/>
      <c r="AM496" s="3"/>
      <c r="AN496" s="3"/>
    </row>
    <row r="497" spans="3:40">
      <c r="C497" s="3"/>
      <c r="D497" s="3"/>
      <c r="E497" s="3"/>
      <c r="S497" s="3"/>
      <c r="T497" s="3"/>
      <c r="AI497" s="3"/>
      <c r="AJ497" s="3"/>
      <c r="AK497" s="3"/>
      <c r="AL497" s="3"/>
      <c r="AM497" s="3"/>
      <c r="AN497" s="3"/>
    </row>
    <row r="498" spans="3:40">
      <c r="C498" s="3"/>
      <c r="D498" s="3"/>
      <c r="E498" s="3"/>
      <c r="S498" s="3"/>
      <c r="T498" s="3"/>
      <c r="AI498" s="3"/>
      <c r="AJ498" s="3"/>
      <c r="AK498" s="3"/>
      <c r="AL498" s="3"/>
      <c r="AM498" s="3"/>
      <c r="AN498" s="3"/>
    </row>
    <row r="499" spans="3:40">
      <c r="C499" s="3"/>
      <c r="D499" s="3"/>
      <c r="E499" s="3"/>
      <c r="S499" s="3"/>
      <c r="T499" s="3"/>
      <c r="AI499" s="3"/>
      <c r="AJ499" s="3"/>
      <c r="AK499" s="3"/>
      <c r="AL499" s="3"/>
      <c r="AM499" s="3"/>
      <c r="AN499" s="3"/>
    </row>
    <row r="500" spans="3:40">
      <c r="C500" s="3"/>
      <c r="D500" s="3"/>
      <c r="E500" s="3"/>
      <c r="S500" s="3"/>
      <c r="T500" s="3"/>
      <c r="AI500" s="3"/>
      <c r="AJ500" s="3"/>
      <c r="AK500" s="3"/>
      <c r="AL500" s="3"/>
      <c r="AM500" s="3"/>
      <c r="AN500" s="3"/>
    </row>
    <row r="501" spans="3:40">
      <c r="C501" s="3"/>
      <c r="D501" s="3"/>
      <c r="E501" s="3"/>
      <c r="S501" s="3"/>
      <c r="T501" s="3"/>
      <c r="AI501" s="3"/>
      <c r="AJ501" s="3"/>
      <c r="AK501" s="3"/>
      <c r="AL501" s="3"/>
      <c r="AM501" s="3"/>
      <c r="AN501" s="3"/>
    </row>
    <row r="502" spans="3:40">
      <c r="C502" s="3"/>
      <c r="D502" s="3"/>
      <c r="E502" s="3"/>
      <c r="S502" s="3"/>
      <c r="T502" s="3"/>
      <c r="AI502" s="3"/>
      <c r="AJ502" s="3"/>
      <c r="AK502" s="3"/>
      <c r="AL502" s="3"/>
      <c r="AM502" s="3"/>
      <c r="AN502" s="3"/>
    </row>
    <row r="503" spans="3:40">
      <c r="C503" s="3"/>
      <c r="D503" s="3"/>
      <c r="E503" s="3"/>
      <c r="S503" s="3"/>
      <c r="T503" s="3"/>
      <c r="AI503" s="3"/>
      <c r="AJ503" s="3"/>
      <c r="AK503" s="3"/>
      <c r="AL503" s="3"/>
      <c r="AM503" s="3"/>
      <c r="AN503" s="3"/>
    </row>
    <row r="504" spans="3:40">
      <c r="C504" s="3"/>
      <c r="D504" s="3"/>
      <c r="E504" s="3"/>
      <c r="S504" s="3"/>
      <c r="T504" s="3"/>
      <c r="AI504" s="3"/>
      <c r="AJ504" s="3"/>
      <c r="AK504" s="3"/>
      <c r="AL504" s="3"/>
      <c r="AM504" s="3"/>
      <c r="AN504" s="3"/>
    </row>
    <row r="505" spans="3:40">
      <c r="C505" s="3"/>
      <c r="D505" s="3"/>
      <c r="E505" s="3"/>
      <c r="S505" s="3"/>
      <c r="T505" s="3"/>
      <c r="AI505" s="3"/>
      <c r="AJ505" s="3"/>
      <c r="AK505" s="3"/>
      <c r="AL505" s="3"/>
      <c r="AM505" s="3"/>
      <c r="AN505" s="3"/>
    </row>
    <row r="506" spans="3:40">
      <c r="C506" s="3"/>
      <c r="D506" s="3"/>
      <c r="E506" s="3"/>
      <c r="S506" s="3"/>
      <c r="T506" s="3"/>
      <c r="AI506" s="3"/>
      <c r="AJ506" s="3"/>
      <c r="AK506" s="3"/>
      <c r="AL506" s="3"/>
      <c r="AM506" s="3"/>
      <c r="AN506" s="3"/>
    </row>
    <row r="507" spans="3:40">
      <c r="C507" s="3"/>
      <c r="D507" s="3"/>
      <c r="E507" s="3"/>
      <c r="S507" s="3"/>
      <c r="T507" s="3"/>
      <c r="AI507" s="3"/>
      <c r="AJ507" s="3"/>
      <c r="AK507" s="3"/>
      <c r="AL507" s="3"/>
      <c r="AM507" s="3"/>
      <c r="AN507" s="3"/>
    </row>
    <row r="508" spans="3:40">
      <c r="C508" s="3"/>
      <c r="D508" s="3"/>
      <c r="E508" s="3"/>
      <c r="S508" s="3"/>
      <c r="T508" s="3"/>
      <c r="AI508" s="3"/>
      <c r="AJ508" s="3"/>
      <c r="AK508" s="3"/>
      <c r="AL508" s="3"/>
      <c r="AM508" s="3"/>
      <c r="AN508" s="3"/>
    </row>
    <row r="509" spans="3:40">
      <c r="C509" s="3"/>
      <c r="D509" s="3"/>
      <c r="E509" s="3"/>
      <c r="S509" s="3"/>
      <c r="T509" s="3"/>
      <c r="AI509" s="3"/>
      <c r="AJ509" s="3"/>
      <c r="AK509" s="3"/>
      <c r="AL509" s="3"/>
      <c r="AM509" s="3"/>
      <c r="AN509" s="3"/>
    </row>
    <row r="510" spans="3:40">
      <c r="C510" s="3"/>
      <c r="D510" s="3"/>
      <c r="E510" s="3"/>
      <c r="S510" s="3"/>
      <c r="T510" s="3"/>
      <c r="AI510" s="3"/>
      <c r="AJ510" s="3"/>
      <c r="AK510" s="3"/>
      <c r="AL510" s="3"/>
      <c r="AM510" s="3"/>
      <c r="AN510" s="3"/>
    </row>
    <row r="511" spans="3:40">
      <c r="C511" s="3"/>
      <c r="D511" s="3"/>
      <c r="E511" s="3"/>
      <c r="S511" s="3"/>
      <c r="T511" s="3"/>
      <c r="AI511" s="3"/>
      <c r="AJ511" s="3"/>
      <c r="AK511" s="3"/>
      <c r="AL511" s="3"/>
      <c r="AM511" s="3"/>
      <c r="AN511" s="3"/>
    </row>
    <row r="512" spans="3:40">
      <c r="C512" s="3"/>
      <c r="D512" s="3"/>
      <c r="E512" s="3"/>
      <c r="S512" s="3"/>
      <c r="T512" s="3"/>
      <c r="AI512" s="3"/>
      <c r="AJ512" s="3"/>
      <c r="AK512" s="3"/>
      <c r="AL512" s="3"/>
      <c r="AM512" s="3"/>
      <c r="AN512" s="3"/>
    </row>
    <row r="513" spans="3:40">
      <c r="C513" s="3"/>
      <c r="D513" s="3"/>
      <c r="E513" s="3"/>
      <c r="S513" s="3"/>
      <c r="T513" s="3"/>
      <c r="AI513" s="3"/>
      <c r="AJ513" s="3"/>
      <c r="AK513" s="3"/>
      <c r="AL513" s="3"/>
      <c r="AM513" s="3"/>
      <c r="AN513" s="3"/>
    </row>
    <row r="514" spans="3:40">
      <c r="C514" s="3"/>
      <c r="D514" s="3"/>
      <c r="E514" s="3"/>
      <c r="S514" s="3"/>
      <c r="T514" s="3"/>
      <c r="AI514" s="3"/>
      <c r="AJ514" s="3"/>
      <c r="AK514" s="3"/>
      <c r="AL514" s="3"/>
      <c r="AM514" s="3"/>
      <c r="AN514" s="3"/>
    </row>
    <row r="515" spans="3:40">
      <c r="C515" s="3"/>
      <c r="D515" s="3"/>
      <c r="E515" s="3"/>
      <c r="S515" s="3"/>
      <c r="T515" s="3"/>
      <c r="AI515" s="3"/>
      <c r="AJ515" s="3"/>
      <c r="AK515" s="3"/>
      <c r="AL515" s="3"/>
      <c r="AM515" s="3"/>
      <c r="AN515" s="3"/>
    </row>
    <row r="516" spans="3:40">
      <c r="C516" s="3"/>
      <c r="D516" s="3"/>
      <c r="E516" s="3"/>
      <c r="S516" s="3"/>
      <c r="T516" s="3"/>
      <c r="AI516" s="3"/>
      <c r="AJ516" s="3"/>
      <c r="AK516" s="3"/>
      <c r="AL516" s="3"/>
      <c r="AM516" s="3"/>
      <c r="AN516" s="3"/>
    </row>
    <row r="517" spans="3:40">
      <c r="C517" s="3"/>
      <c r="D517" s="3"/>
      <c r="E517" s="3"/>
      <c r="S517" s="3"/>
      <c r="T517" s="3"/>
      <c r="AI517" s="3"/>
      <c r="AJ517" s="3"/>
      <c r="AK517" s="3"/>
      <c r="AL517" s="3"/>
      <c r="AM517" s="3"/>
      <c r="AN517" s="3"/>
    </row>
    <row r="518" spans="3:40">
      <c r="C518" s="3"/>
      <c r="D518" s="3"/>
      <c r="E518" s="3"/>
      <c r="S518" s="3"/>
      <c r="T518" s="3"/>
      <c r="AI518" s="3"/>
      <c r="AJ518" s="3"/>
      <c r="AK518" s="3"/>
      <c r="AL518" s="3"/>
      <c r="AM518" s="3"/>
      <c r="AN518" s="3"/>
    </row>
    <row r="519" spans="3:40">
      <c r="C519" s="3"/>
      <c r="D519" s="3"/>
      <c r="E519" s="3"/>
      <c r="S519" s="3"/>
      <c r="T519" s="3"/>
      <c r="AI519" s="3"/>
      <c r="AJ519" s="3"/>
      <c r="AK519" s="3"/>
      <c r="AL519" s="3"/>
      <c r="AM519" s="3"/>
      <c r="AN519" s="3"/>
    </row>
    <row r="520" spans="3:40">
      <c r="C520" s="3"/>
      <c r="D520" s="3"/>
      <c r="E520" s="3"/>
      <c r="S520" s="3"/>
      <c r="T520" s="3"/>
      <c r="AI520" s="3"/>
      <c r="AJ520" s="3"/>
      <c r="AK520" s="3"/>
      <c r="AL520" s="3"/>
      <c r="AM520" s="3"/>
      <c r="AN520" s="3"/>
    </row>
    <row r="521" spans="3:40">
      <c r="C521" s="3"/>
      <c r="D521" s="3"/>
      <c r="E521" s="3"/>
      <c r="S521" s="3"/>
      <c r="T521" s="3"/>
      <c r="AI521" s="3"/>
      <c r="AJ521" s="3"/>
      <c r="AK521" s="3"/>
      <c r="AL521" s="3"/>
      <c r="AM521" s="3"/>
      <c r="AN521" s="3"/>
    </row>
    <row r="522" spans="3:40">
      <c r="C522" s="3"/>
      <c r="D522" s="3"/>
      <c r="E522" s="3"/>
      <c r="S522" s="3"/>
      <c r="T522" s="3"/>
      <c r="AI522" s="3"/>
      <c r="AJ522" s="3"/>
      <c r="AK522" s="3"/>
      <c r="AL522" s="3"/>
      <c r="AM522" s="3"/>
      <c r="AN522" s="3"/>
    </row>
    <row r="523" spans="3:40">
      <c r="C523" s="3"/>
      <c r="D523" s="3"/>
      <c r="E523" s="3"/>
      <c r="S523" s="3"/>
      <c r="T523" s="3"/>
      <c r="AI523" s="3"/>
      <c r="AJ523" s="3"/>
      <c r="AK523" s="3"/>
      <c r="AL523" s="3"/>
      <c r="AM523" s="3"/>
      <c r="AN523" s="3"/>
    </row>
    <row r="524" spans="3:40">
      <c r="C524" s="3"/>
      <c r="D524" s="3"/>
      <c r="E524" s="3"/>
      <c r="S524" s="3"/>
      <c r="T524" s="3"/>
      <c r="AI524" s="3"/>
      <c r="AJ524" s="3"/>
      <c r="AK524" s="3"/>
      <c r="AL524" s="3"/>
      <c r="AM524" s="3"/>
      <c r="AN524" s="3"/>
    </row>
    <row r="525" spans="3:40">
      <c r="C525" s="3"/>
      <c r="D525" s="3"/>
      <c r="E525" s="3"/>
      <c r="S525" s="3"/>
      <c r="T525" s="3"/>
      <c r="AI525" s="3"/>
      <c r="AJ525" s="3"/>
      <c r="AK525" s="3"/>
      <c r="AL525" s="3"/>
      <c r="AM525" s="3"/>
      <c r="AN525" s="3"/>
    </row>
    <row r="526" spans="3:40">
      <c r="C526" s="3"/>
      <c r="D526" s="3"/>
      <c r="E526" s="3"/>
      <c r="S526" s="3"/>
      <c r="T526" s="3"/>
      <c r="AI526" s="3"/>
      <c r="AJ526" s="3"/>
      <c r="AK526" s="3"/>
      <c r="AL526" s="3"/>
      <c r="AM526" s="3"/>
      <c r="AN526" s="3"/>
    </row>
    <row r="527" spans="3:40">
      <c r="C527" s="3"/>
      <c r="D527" s="3"/>
      <c r="E527" s="3"/>
      <c r="S527" s="3"/>
      <c r="T527" s="3"/>
      <c r="AI527" s="3"/>
      <c r="AJ527" s="3"/>
      <c r="AK527" s="3"/>
      <c r="AL527" s="3"/>
      <c r="AM527" s="3"/>
      <c r="AN527" s="3"/>
    </row>
    <row r="528" spans="3:40">
      <c r="C528" s="3"/>
      <c r="D528" s="3"/>
      <c r="E528" s="3"/>
      <c r="S528" s="3"/>
      <c r="T528" s="3"/>
      <c r="AI528" s="3"/>
      <c r="AJ528" s="3"/>
      <c r="AK528" s="3"/>
      <c r="AL528" s="3"/>
      <c r="AM528" s="3"/>
      <c r="AN528" s="3"/>
    </row>
    <row r="529" spans="3:40">
      <c r="C529" s="3"/>
      <c r="D529" s="3"/>
      <c r="E529" s="3"/>
      <c r="S529" s="3"/>
      <c r="T529" s="3"/>
      <c r="AI529" s="3"/>
      <c r="AJ529" s="3"/>
      <c r="AK529" s="3"/>
      <c r="AL529" s="3"/>
      <c r="AM529" s="3"/>
      <c r="AN529" s="3"/>
    </row>
    <row r="530" spans="3:40">
      <c r="C530" s="3"/>
      <c r="D530" s="3"/>
      <c r="E530" s="3"/>
      <c r="S530" s="3"/>
      <c r="T530" s="3"/>
      <c r="AI530" s="3"/>
      <c r="AJ530" s="3"/>
      <c r="AK530" s="3"/>
      <c r="AL530" s="3"/>
      <c r="AM530" s="3"/>
      <c r="AN530" s="3"/>
    </row>
    <row r="531" spans="3:40">
      <c r="C531" s="3"/>
      <c r="D531" s="3"/>
      <c r="E531" s="3"/>
      <c r="S531" s="3"/>
      <c r="T531" s="3"/>
      <c r="AI531" s="3"/>
      <c r="AJ531" s="3"/>
      <c r="AK531" s="3"/>
      <c r="AL531" s="3"/>
      <c r="AM531" s="3"/>
      <c r="AN531" s="3"/>
    </row>
    <row r="532" spans="3:40">
      <c r="C532" s="3"/>
      <c r="D532" s="3"/>
      <c r="E532" s="3"/>
      <c r="S532" s="3"/>
      <c r="T532" s="3"/>
      <c r="AI532" s="3"/>
      <c r="AJ532" s="3"/>
      <c r="AK532" s="3"/>
      <c r="AL532" s="3"/>
      <c r="AM532" s="3"/>
      <c r="AN532" s="3"/>
    </row>
    <row r="533" spans="3:40">
      <c r="C533" s="3"/>
      <c r="D533" s="3"/>
      <c r="E533" s="3"/>
      <c r="S533" s="3"/>
      <c r="T533" s="3"/>
      <c r="AI533" s="3"/>
      <c r="AJ533" s="3"/>
      <c r="AK533" s="3"/>
      <c r="AL533" s="3"/>
      <c r="AM533" s="3"/>
      <c r="AN533" s="3"/>
    </row>
    <row r="534" spans="3:40">
      <c r="C534" s="3"/>
      <c r="D534" s="3"/>
      <c r="E534" s="3"/>
      <c r="S534" s="3"/>
      <c r="T534" s="3"/>
      <c r="AI534" s="3"/>
      <c r="AJ534" s="3"/>
      <c r="AK534" s="3"/>
      <c r="AL534" s="3"/>
      <c r="AM534" s="3"/>
      <c r="AN534" s="3"/>
    </row>
    <row r="535" spans="3:40">
      <c r="C535" s="3"/>
      <c r="D535" s="3"/>
      <c r="E535" s="3"/>
      <c r="S535" s="3"/>
      <c r="T535" s="3"/>
      <c r="AI535" s="3"/>
      <c r="AJ535" s="3"/>
      <c r="AK535" s="3"/>
      <c r="AL535" s="3"/>
      <c r="AM535" s="3"/>
      <c r="AN535" s="3"/>
    </row>
    <row r="536" spans="3:40">
      <c r="C536" s="3"/>
      <c r="D536" s="3"/>
      <c r="E536" s="3"/>
      <c r="S536" s="3"/>
      <c r="T536" s="3"/>
      <c r="AI536" s="3"/>
      <c r="AJ536" s="3"/>
      <c r="AK536" s="3"/>
      <c r="AL536" s="3"/>
      <c r="AM536" s="3"/>
      <c r="AN536" s="3"/>
    </row>
    <row r="537" spans="3:40">
      <c r="C537" s="3"/>
      <c r="D537" s="3"/>
      <c r="E537" s="3"/>
      <c r="S537" s="3"/>
      <c r="T537" s="3"/>
      <c r="AI537" s="3"/>
      <c r="AJ537" s="3"/>
      <c r="AK537" s="3"/>
      <c r="AL537" s="3"/>
      <c r="AM537" s="3"/>
      <c r="AN537" s="3"/>
    </row>
    <row r="538" spans="3:40">
      <c r="C538" s="3"/>
      <c r="D538" s="3"/>
      <c r="E538" s="3"/>
      <c r="S538" s="3"/>
      <c r="T538" s="3"/>
      <c r="AI538" s="3"/>
      <c r="AJ538" s="3"/>
      <c r="AK538" s="3"/>
      <c r="AL538" s="3"/>
      <c r="AM538" s="3"/>
      <c r="AN538" s="3"/>
    </row>
    <row r="539" spans="3:40">
      <c r="C539" s="3"/>
      <c r="D539" s="3"/>
      <c r="E539" s="3"/>
      <c r="S539" s="3"/>
      <c r="T539" s="3"/>
      <c r="AI539" s="3"/>
      <c r="AJ539" s="3"/>
      <c r="AK539" s="3"/>
      <c r="AL539" s="3"/>
      <c r="AM539" s="3"/>
      <c r="AN539" s="3"/>
    </row>
    <row r="540" spans="3:40">
      <c r="C540" s="3"/>
      <c r="D540" s="3"/>
      <c r="E540" s="3"/>
      <c r="S540" s="3"/>
      <c r="T540" s="3"/>
      <c r="AI540" s="3"/>
      <c r="AJ540" s="3"/>
      <c r="AK540" s="3"/>
      <c r="AL540" s="3"/>
      <c r="AM540" s="3"/>
      <c r="AN540" s="3"/>
    </row>
    <row r="541" spans="3:40">
      <c r="C541" s="3"/>
      <c r="D541" s="3"/>
      <c r="E541" s="3"/>
      <c r="S541" s="3"/>
      <c r="T541" s="3"/>
      <c r="AI541" s="3"/>
      <c r="AJ541" s="3"/>
      <c r="AK541" s="3"/>
      <c r="AL541" s="3"/>
      <c r="AM541" s="3"/>
      <c r="AN541" s="3"/>
    </row>
    <row r="542" spans="3:40">
      <c r="C542" s="3"/>
      <c r="D542" s="3"/>
      <c r="E542" s="3"/>
      <c r="S542" s="3"/>
      <c r="T542" s="3"/>
      <c r="AI542" s="3"/>
      <c r="AJ542" s="3"/>
      <c r="AK542" s="3"/>
      <c r="AL542" s="3"/>
      <c r="AM542" s="3"/>
      <c r="AN542" s="3"/>
    </row>
    <row r="543" spans="3:40">
      <c r="C543" s="3"/>
      <c r="D543" s="3"/>
      <c r="E543" s="3"/>
      <c r="S543" s="3"/>
      <c r="T543" s="3"/>
      <c r="AI543" s="3"/>
      <c r="AJ543" s="3"/>
      <c r="AK543" s="3"/>
      <c r="AL543" s="3"/>
      <c r="AM543" s="3"/>
      <c r="AN543" s="3"/>
    </row>
    <row r="544" spans="3:40">
      <c r="C544" s="3"/>
      <c r="D544" s="3"/>
      <c r="E544" s="3"/>
      <c r="S544" s="3"/>
      <c r="T544" s="3"/>
      <c r="AI544" s="3"/>
      <c r="AJ544" s="3"/>
      <c r="AK544" s="3"/>
      <c r="AL544" s="3"/>
      <c r="AM544" s="3"/>
      <c r="AN544" s="3"/>
    </row>
    <row r="545" spans="3:40">
      <c r="C545" s="3"/>
      <c r="D545" s="3"/>
      <c r="E545" s="3"/>
      <c r="S545" s="3"/>
      <c r="T545" s="3"/>
      <c r="AI545" s="3"/>
      <c r="AJ545" s="3"/>
      <c r="AK545" s="3"/>
      <c r="AL545" s="3"/>
      <c r="AM545" s="3"/>
      <c r="AN545" s="3"/>
    </row>
    <row r="546" spans="3:40">
      <c r="C546" s="3"/>
      <c r="D546" s="3"/>
      <c r="E546" s="3"/>
      <c r="S546" s="3"/>
      <c r="T546" s="3"/>
      <c r="AI546" s="3"/>
      <c r="AJ546" s="3"/>
      <c r="AK546" s="3"/>
      <c r="AL546" s="3"/>
      <c r="AM546" s="3"/>
      <c r="AN546" s="3"/>
    </row>
    <row r="547" spans="3:40">
      <c r="C547" s="3"/>
      <c r="D547" s="3"/>
      <c r="E547" s="3"/>
      <c r="S547" s="3"/>
      <c r="T547" s="3"/>
      <c r="AI547" s="3"/>
      <c r="AJ547" s="3"/>
      <c r="AK547" s="3"/>
      <c r="AL547" s="3"/>
      <c r="AM547" s="3"/>
      <c r="AN547" s="3"/>
    </row>
    <row r="548" spans="3:40">
      <c r="C548" s="3"/>
      <c r="D548" s="3"/>
      <c r="E548" s="3"/>
      <c r="S548" s="3"/>
      <c r="T548" s="3"/>
      <c r="AI548" s="3"/>
      <c r="AJ548" s="3"/>
      <c r="AK548" s="3"/>
      <c r="AL548" s="3"/>
      <c r="AM548" s="3"/>
      <c r="AN548" s="3"/>
    </row>
    <row r="549" spans="3:40">
      <c r="C549" s="3"/>
      <c r="D549" s="3"/>
      <c r="E549" s="3"/>
      <c r="S549" s="3"/>
      <c r="T549" s="3"/>
      <c r="AI549" s="3"/>
      <c r="AJ549" s="3"/>
      <c r="AK549" s="3"/>
      <c r="AL549" s="3"/>
      <c r="AM549" s="3"/>
      <c r="AN549" s="3"/>
    </row>
    <row r="550" spans="3:40">
      <c r="C550" s="3"/>
      <c r="D550" s="3"/>
      <c r="E550" s="3"/>
      <c r="S550" s="3"/>
      <c r="T550" s="3"/>
      <c r="AI550" s="3"/>
      <c r="AJ550" s="3"/>
      <c r="AK550" s="3"/>
      <c r="AL550" s="3"/>
      <c r="AM550" s="3"/>
      <c r="AN550" s="3"/>
    </row>
    <row r="551" spans="3:40">
      <c r="C551" s="3"/>
      <c r="D551" s="3"/>
      <c r="E551" s="3"/>
      <c r="S551" s="3"/>
      <c r="T551" s="3"/>
      <c r="AI551" s="3"/>
      <c r="AJ551" s="3"/>
      <c r="AK551" s="3"/>
      <c r="AL551" s="3"/>
      <c r="AM551" s="3"/>
      <c r="AN551" s="3"/>
    </row>
    <row r="552" spans="3:40">
      <c r="C552" s="3"/>
      <c r="D552" s="3"/>
      <c r="E552" s="3"/>
      <c r="S552" s="3"/>
      <c r="T552" s="3"/>
      <c r="AI552" s="3"/>
      <c r="AJ552" s="3"/>
      <c r="AK552" s="3"/>
      <c r="AL552" s="3"/>
      <c r="AM552" s="3"/>
      <c r="AN552" s="3"/>
    </row>
    <row r="553" spans="3:40">
      <c r="C553" s="3"/>
      <c r="D553" s="3"/>
      <c r="E553" s="3"/>
      <c r="S553" s="3"/>
      <c r="T553" s="3"/>
      <c r="AI553" s="3"/>
      <c r="AJ553" s="3"/>
      <c r="AK553" s="3"/>
      <c r="AL553" s="3"/>
      <c r="AM553" s="3"/>
      <c r="AN553" s="3"/>
    </row>
    <row r="554" spans="3:40">
      <c r="C554" s="3"/>
      <c r="D554" s="3"/>
      <c r="E554" s="3"/>
      <c r="S554" s="3"/>
      <c r="T554" s="3"/>
      <c r="AI554" s="3"/>
      <c r="AJ554" s="3"/>
      <c r="AK554" s="3"/>
      <c r="AL554" s="3"/>
      <c r="AM554" s="3"/>
      <c r="AN554" s="3"/>
    </row>
    <row r="555" spans="3:40">
      <c r="C555" s="3"/>
      <c r="D555" s="3"/>
      <c r="E555" s="3"/>
      <c r="S555" s="3"/>
      <c r="T555" s="3"/>
      <c r="AI555" s="3"/>
      <c r="AJ555" s="3"/>
      <c r="AK555" s="3"/>
      <c r="AL555" s="3"/>
      <c r="AM555" s="3"/>
      <c r="AN555" s="3"/>
    </row>
    <row r="556" spans="3:40">
      <c r="C556" s="3"/>
      <c r="D556" s="3"/>
      <c r="E556" s="3"/>
      <c r="S556" s="3"/>
      <c r="T556" s="3"/>
      <c r="AI556" s="3"/>
      <c r="AJ556" s="3"/>
      <c r="AK556" s="3"/>
      <c r="AL556" s="3"/>
      <c r="AM556" s="3"/>
      <c r="AN556" s="3"/>
    </row>
    <row r="557" spans="3:40">
      <c r="C557" s="3"/>
      <c r="D557" s="3"/>
      <c r="E557" s="3"/>
      <c r="S557" s="3"/>
      <c r="T557" s="3"/>
      <c r="AI557" s="3"/>
      <c r="AJ557" s="3"/>
      <c r="AK557" s="3"/>
      <c r="AL557" s="3"/>
      <c r="AM557" s="3"/>
      <c r="AN557" s="3"/>
    </row>
    <row r="558" spans="3:40">
      <c r="C558" s="3"/>
      <c r="D558" s="3"/>
      <c r="E558" s="3"/>
      <c r="S558" s="3"/>
      <c r="T558" s="3"/>
      <c r="AI558" s="3"/>
      <c r="AJ558" s="3"/>
      <c r="AK558" s="3"/>
      <c r="AL558" s="3"/>
      <c r="AM558" s="3"/>
      <c r="AN558" s="3"/>
    </row>
    <row r="559" spans="3:40">
      <c r="C559" s="3"/>
      <c r="D559" s="3"/>
      <c r="E559" s="3"/>
      <c r="S559" s="3"/>
      <c r="T559" s="3"/>
      <c r="AI559" s="3"/>
      <c r="AJ559" s="3"/>
      <c r="AK559" s="3"/>
      <c r="AL559" s="3"/>
      <c r="AM559" s="3"/>
      <c r="AN559" s="3"/>
    </row>
    <row r="560" spans="3:40">
      <c r="C560" s="3"/>
      <c r="D560" s="3"/>
      <c r="E560" s="3"/>
      <c r="S560" s="3"/>
      <c r="T560" s="3"/>
      <c r="AI560" s="3"/>
      <c r="AJ560" s="3"/>
      <c r="AK560" s="3"/>
      <c r="AL560" s="3"/>
      <c r="AM560" s="3"/>
      <c r="AN560" s="3"/>
    </row>
    <row r="561" spans="3:40">
      <c r="C561" s="3"/>
      <c r="D561" s="3"/>
      <c r="E561" s="3"/>
      <c r="S561" s="3"/>
      <c r="T561" s="3"/>
      <c r="AI561" s="3"/>
      <c r="AJ561" s="3"/>
      <c r="AK561" s="3"/>
      <c r="AL561" s="3"/>
      <c r="AM561" s="3"/>
      <c r="AN561" s="3"/>
    </row>
    <row r="562" spans="3:40">
      <c r="C562" s="3"/>
      <c r="D562" s="3"/>
      <c r="E562" s="3"/>
      <c r="S562" s="3"/>
      <c r="T562" s="3"/>
      <c r="AI562" s="3"/>
      <c r="AJ562" s="3"/>
      <c r="AK562" s="3"/>
      <c r="AL562" s="3"/>
      <c r="AM562" s="3"/>
      <c r="AN562" s="3"/>
    </row>
    <row r="563" spans="3:40">
      <c r="C563" s="3"/>
      <c r="D563" s="3"/>
      <c r="E563" s="3"/>
      <c r="S563" s="3"/>
      <c r="T563" s="3"/>
      <c r="AI563" s="3"/>
      <c r="AJ563" s="3"/>
      <c r="AK563" s="3"/>
      <c r="AL563" s="3"/>
      <c r="AM563" s="3"/>
      <c r="AN563" s="3"/>
    </row>
    <row r="564" spans="3:40">
      <c r="C564" s="3"/>
      <c r="D564" s="3"/>
      <c r="E564" s="3"/>
      <c r="S564" s="3"/>
      <c r="T564" s="3"/>
      <c r="AI564" s="3"/>
      <c r="AJ564" s="3"/>
      <c r="AK564" s="3"/>
      <c r="AL564" s="3"/>
      <c r="AM564" s="3"/>
      <c r="AN564" s="3"/>
    </row>
    <row r="565" spans="3:40">
      <c r="C565" s="3"/>
      <c r="D565" s="3"/>
      <c r="E565" s="3"/>
      <c r="S565" s="3"/>
      <c r="T565" s="3"/>
      <c r="AI565" s="3"/>
      <c r="AJ565" s="3"/>
      <c r="AK565" s="3"/>
      <c r="AL565" s="3"/>
      <c r="AM565" s="3"/>
      <c r="AN565" s="3"/>
    </row>
    <row r="566" spans="3:40">
      <c r="C566" s="3"/>
      <c r="D566" s="3"/>
      <c r="E566" s="3"/>
      <c r="S566" s="3"/>
      <c r="T566" s="3"/>
      <c r="AI566" s="3"/>
      <c r="AJ566" s="3"/>
      <c r="AK566" s="3"/>
      <c r="AL566" s="3"/>
      <c r="AM566" s="3"/>
      <c r="AN566" s="3"/>
    </row>
    <row r="567" spans="3:40">
      <c r="C567" s="3"/>
      <c r="D567" s="3"/>
      <c r="E567" s="3"/>
      <c r="S567" s="3"/>
      <c r="T567" s="3"/>
      <c r="AI567" s="3"/>
      <c r="AJ567" s="3"/>
      <c r="AK567" s="3"/>
      <c r="AL567" s="3"/>
      <c r="AM567" s="3"/>
      <c r="AN567" s="3"/>
    </row>
    <row r="568" spans="3:40">
      <c r="C568" s="3"/>
      <c r="D568" s="3"/>
      <c r="E568" s="3"/>
      <c r="S568" s="3"/>
      <c r="T568" s="3"/>
      <c r="AI568" s="3"/>
      <c r="AJ568" s="3"/>
      <c r="AK568" s="3"/>
      <c r="AL568" s="3"/>
      <c r="AM568" s="3"/>
      <c r="AN568" s="3"/>
    </row>
    <row r="569" spans="3:40">
      <c r="C569" s="3"/>
      <c r="D569" s="3"/>
      <c r="E569" s="3"/>
      <c r="S569" s="3"/>
      <c r="T569" s="3"/>
      <c r="AI569" s="3"/>
      <c r="AJ569" s="3"/>
      <c r="AK569" s="3"/>
      <c r="AL569" s="3"/>
      <c r="AM569" s="3"/>
      <c r="AN569" s="3"/>
    </row>
    <row r="570" spans="3:40">
      <c r="C570" s="3"/>
      <c r="D570" s="3"/>
      <c r="E570" s="3"/>
      <c r="S570" s="3"/>
      <c r="T570" s="3"/>
      <c r="AI570" s="3"/>
      <c r="AJ570" s="3"/>
      <c r="AK570" s="3"/>
      <c r="AL570" s="3"/>
      <c r="AM570" s="3"/>
      <c r="AN570" s="3"/>
    </row>
    <row r="571" spans="3:40">
      <c r="C571" s="3"/>
      <c r="D571" s="3"/>
      <c r="E571" s="3"/>
      <c r="S571" s="3"/>
      <c r="T571" s="3"/>
      <c r="AI571" s="3"/>
      <c r="AJ571" s="3"/>
      <c r="AK571" s="3"/>
      <c r="AL571" s="3"/>
      <c r="AM571" s="3"/>
      <c r="AN571" s="3"/>
    </row>
    <row r="572" spans="3:40">
      <c r="C572" s="3"/>
      <c r="D572" s="3"/>
      <c r="E572" s="3"/>
      <c r="S572" s="3"/>
      <c r="T572" s="3"/>
      <c r="AI572" s="3"/>
      <c r="AJ572" s="3"/>
      <c r="AK572" s="3"/>
      <c r="AL572" s="3"/>
      <c r="AM572" s="3"/>
      <c r="AN572" s="3"/>
    </row>
    <row r="573" spans="3:40">
      <c r="C573" s="3"/>
      <c r="D573" s="3"/>
      <c r="E573" s="3"/>
      <c r="S573" s="3"/>
      <c r="T573" s="3"/>
      <c r="AI573" s="3"/>
      <c r="AJ573" s="3"/>
      <c r="AK573" s="3"/>
      <c r="AL573" s="3"/>
      <c r="AM573" s="3"/>
      <c r="AN573" s="3"/>
    </row>
    <row r="574" spans="3:40">
      <c r="C574" s="3"/>
      <c r="D574" s="3"/>
      <c r="E574" s="3"/>
      <c r="S574" s="3"/>
      <c r="T574" s="3"/>
      <c r="AI574" s="3"/>
      <c r="AJ574" s="3"/>
      <c r="AK574" s="3"/>
      <c r="AL574" s="3"/>
      <c r="AM574" s="3"/>
      <c r="AN574" s="3"/>
    </row>
    <row r="575" spans="3:40">
      <c r="C575" s="3"/>
      <c r="D575" s="3"/>
      <c r="E575" s="3"/>
      <c r="S575" s="3"/>
      <c r="T575" s="3"/>
      <c r="AI575" s="3"/>
      <c r="AJ575" s="3"/>
      <c r="AK575" s="3"/>
      <c r="AL575" s="3"/>
      <c r="AM575" s="3"/>
      <c r="AN575" s="3"/>
    </row>
    <row r="576" spans="3:40">
      <c r="C576" s="3"/>
      <c r="D576" s="3"/>
      <c r="E576" s="3"/>
      <c r="S576" s="3"/>
      <c r="T576" s="3"/>
      <c r="AI576" s="3"/>
      <c r="AJ576" s="3"/>
      <c r="AK576" s="3"/>
      <c r="AL576" s="3"/>
      <c r="AM576" s="3"/>
      <c r="AN576" s="3"/>
    </row>
    <row r="577" spans="3:40">
      <c r="C577" s="3"/>
      <c r="D577" s="3"/>
      <c r="E577" s="3"/>
      <c r="S577" s="3"/>
      <c r="T577" s="3"/>
      <c r="AI577" s="3"/>
      <c r="AJ577" s="3"/>
      <c r="AK577" s="3"/>
      <c r="AL577" s="3"/>
      <c r="AM577" s="3"/>
      <c r="AN577" s="3"/>
    </row>
    <row r="578" spans="3:40">
      <c r="C578" s="3"/>
      <c r="D578" s="3"/>
      <c r="E578" s="3"/>
      <c r="S578" s="3"/>
      <c r="T578" s="3"/>
      <c r="AI578" s="3"/>
      <c r="AJ578" s="3"/>
      <c r="AK578" s="3"/>
      <c r="AL578" s="3"/>
      <c r="AM578" s="3"/>
      <c r="AN578" s="3"/>
    </row>
    <row r="579" spans="3:40">
      <c r="C579" s="3"/>
      <c r="D579" s="3"/>
      <c r="E579" s="3"/>
      <c r="S579" s="3"/>
      <c r="T579" s="3"/>
      <c r="AI579" s="3"/>
      <c r="AJ579" s="3"/>
      <c r="AK579" s="3"/>
      <c r="AL579" s="3"/>
      <c r="AM579" s="3"/>
      <c r="AN579" s="3"/>
    </row>
    <row r="580" spans="3:40">
      <c r="C580" s="3"/>
      <c r="D580" s="3"/>
      <c r="E580" s="3"/>
      <c r="S580" s="3"/>
      <c r="T580" s="3"/>
      <c r="AI580" s="3"/>
      <c r="AJ580" s="3"/>
      <c r="AK580" s="3"/>
      <c r="AL580" s="3"/>
      <c r="AM580" s="3"/>
      <c r="AN580" s="3"/>
    </row>
    <row r="581" spans="3:40">
      <c r="C581" s="3"/>
      <c r="D581" s="3"/>
      <c r="E581" s="3"/>
      <c r="S581" s="3"/>
      <c r="T581" s="3"/>
      <c r="AI581" s="3"/>
      <c r="AJ581" s="3"/>
      <c r="AK581" s="3"/>
      <c r="AL581" s="3"/>
      <c r="AM581" s="3"/>
      <c r="AN581" s="3"/>
    </row>
    <row r="582" spans="3:40">
      <c r="C582" s="3"/>
      <c r="D582" s="3"/>
      <c r="E582" s="3"/>
      <c r="S582" s="3"/>
      <c r="T582" s="3"/>
      <c r="AI582" s="3"/>
      <c r="AJ582" s="3"/>
      <c r="AK582" s="3"/>
      <c r="AL582" s="3"/>
      <c r="AM582" s="3"/>
      <c r="AN582" s="3"/>
    </row>
    <row r="583" spans="3:40">
      <c r="C583" s="3"/>
      <c r="D583" s="3"/>
      <c r="E583" s="3"/>
      <c r="S583" s="3"/>
      <c r="T583" s="3"/>
      <c r="AI583" s="3"/>
      <c r="AJ583" s="3"/>
      <c r="AK583" s="3"/>
      <c r="AL583" s="3"/>
      <c r="AM583" s="3"/>
      <c r="AN583" s="3"/>
    </row>
    <row r="584" spans="3:40">
      <c r="C584" s="3"/>
      <c r="D584" s="3"/>
      <c r="E584" s="3"/>
      <c r="S584" s="3"/>
      <c r="T584" s="3"/>
      <c r="AI584" s="3"/>
      <c r="AJ584" s="3"/>
      <c r="AK584" s="3"/>
      <c r="AL584" s="3"/>
      <c r="AM584" s="3"/>
      <c r="AN584" s="3"/>
    </row>
    <row r="585" spans="3:40">
      <c r="C585" s="3"/>
      <c r="D585" s="3"/>
      <c r="E585" s="3"/>
      <c r="S585" s="3"/>
      <c r="T585" s="3"/>
      <c r="AI585" s="3"/>
      <c r="AJ585" s="3"/>
      <c r="AK585" s="3"/>
      <c r="AL585" s="3"/>
      <c r="AM585" s="3"/>
      <c r="AN585" s="3"/>
    </row>
    <row r="586" spans="3:40">
      <c r="C586" s="3"/>
      <c r="D586" s="3"/>
      <c r="E586" s="3"/>
      <c r="S586" s="3"/>
      <c r="T586" s="3"/>
      <c r="AI586" s="3"/>
      <c r="AJ586" s="3"/>
      <c r="AK586" s="3"/>
      <c r="AL586" s="3"/>
      <c r="AM586" s="3"/>
      <c r="AN586" s="3"/>
    </row>
    <row r="587" spans="3:40">
      <c r="C587" s="3"/>
      <c r="D587" s="3"/>
      <c r="E587" s="3"/>
      <c r="S587" s="3"/>
      <c r="T587" s="3"/>
      <c r="AI587" s="3"/>
      <c r="AJ587" s="3"/>
      <c r="AK587" s="3"/>
      <c r="AL587" s="3"/>
      <c r="AM587" s="3"/>
      <c r="AN587" s="3"/>
    </row>
    <row r="588" spans="3:40">
      <c r="C588" s="3"/>
      <c r="D588" s="3"/>
      <c r="E588" s="3"/>
      <c r="S588" s="3"/>
      <c r="T588" s="3"/>
      <c r="AI588" s="3"/>
      <c r="AJ588" s="3"/>
      <c r="AK588" s="3"/>
      <c r="AL588" s="3"/>
      <c r="AM588" s="3"/>
      <c r="AN588" s="3"/>
    </row>
    <row r="589" spans="3:40">
      <c r="C589" s="3"/>
      <c r="D589" s="3"/>
      <c r="E589" s="3"/>
      <c r="S589" s="3"/>
      <c r="T589" s="3"/>
      <c r="AI589" s="3"/>
      <c r="AJ589" s="3"/>
      <c r="AK589" s="3"/>
      <c r="AL589" s="3"/>
      <c r="AM589" s="3"/>
      <c r="AN589" s="3"/>
    </row>
    <row r="590" spans="3:40">
      <c r="C590" s="3"/>
      <c r="D590" s="3"/>
      <c r="E590" s="3"/>
      <c r="S590" s="3"/>
      <c r="T590" s="3"/>
      <c r="AI590" s="3"/>
      <c r="AJ590" s="3"/>
      <c r="AK590" s="3"/>
      <c r="AL590" s="3"/>
      <c r="AM590" s="3"/>
      <c r="AN590" s="3"/>
    </row>
    <row r="591" spans="3:40">
      <c r="C591" s="3"/>
      <c r="D591" s="3"/>
      <c r="E591" s="3"/>
      <c r="S591" s="3"/>
      <c r="T591" s="3"/>
      <c r="AI591" s="3"/>
      <c r="AJ591" s="3"/>
      <c r="AK591" s="3"/>
      <c r="AL591" s="3"/>
      <c r="AM591" s="3"/>
      <c r="AN591" s="3"/>
    </row>
    <row r="592" spans="3:40">
      <c r="C592" s="3"/>
      <c r="D592" s="3"/>
      <c r="E592" s="3"/>
      <c r="S592" s="3"/>
      <c r="T592" s="3"/>
      <c r="AI592" s="3"/>
      <c r="AJ592" s="3"/>
      <c r="AK592" s="3"/>
      <c r="AL592" s="3"/>
      <c r="AM592" s="3"/>
      <c r="AN592" s="3"/>
    </row>
    <row r="593" spans="3:40">
      <c r="C593" s="3"/>
      <c r="D593" s="3"/>
      <c r="E593" s="3"/>
      <c r="S593" s="3"/>
      <c r="T593" s="3"/>
      <c r="AI593" s="3"/>
      <c r="AJ593" s="3"/>
      <c r="AK593" s="3"/>
      <c r="AL593" s="3"/>
      <c r="AM593" s="3"/>
      <c r="AN593" s="3"/>
    </row>
    <row r="594" spans="3:40">
      <c r="C594" s="3"/>
      <c r="D594" s="3"/>
      <c r="E594" s="3"/>
      <c r="S594" s="3"/>
      <c r="T594" s="3"/>
      <c r="AI594" s="3"/>
      <c r="AJ594" s="3"/>
      <c r="AK594" s="3"/>
      <c r="AL594" s="3"/>
      <c r="AM594" s="3"/>
      <c r="AN594" s="3"/>
    </row>
    <row r="595" spans="3:40">
      <c r="C595" s="3"/>
      <c r="D595" s="3"/>
      <c r="E595" s="3"/>
      <c r="S595" s="3"/>
      <c r="T595" s="3"/>
      <c r="AI595" s="3"/>
      <c r="AJ595" s="3"/>
      <c r="AK595" s="3"/>
      <c r="AL595" s="3"/>
      <c r="AM595" s="3"/>
      <c r="AN595" s="3"/>
    </row>
    <row r="596" spans="3:40">
      <c r="C596" s="3"/>
      <c r="D596" s="3"/>
      <c r="E596" s="3"/>
      <c r="S596" s="3"/>
      <c r="T596" s="3"/>
      <c r="AI596" s="3"/>
      <c r="AJ596" s="3"/>
      <c r="AK596" s="3"/>
      <c r="AL596" s="3"/>
      <c r="AM596" s="3"/>
      <c r="AN596" s="3"/>
    </row>
    <row r="597" spans="3:40">
      <c r="C597" s="3"/>
      <c r="D597" s="3"/>
      <c r="E597" s="3"/>
      <c r="S597" s="3"/>
      <c r="T597" s="3"/>
      <c r="AI597" s="3"/>
      <c r="AJ597" s="3"/>
      <c r="AK597" s="3"/>
      <c r="AL597" s="3"/>
      <c r="AM597" s="3"/>
      <c r="AN597" s="3"/>
    </row>
    <row r="598" spans="3:40">
      <c r="C598" s="3"/>
      <c r="D598" s="3"/>
      <c r="E598" s="3"/>
      <c r="S598" s="3"/>
      <c r="T598" s="3"/>
      <c r="AI598" s="3"/>
      <c r="AJ598" s="3"/>
      <c r="AK598" s="3"/>
      <c r="AL598" s="3"/>
      <c r="AM598" s="3"/>
      <c r="AN598" s="3"/>
    </row>
    <row r="599" spans="3:40">
      <c r="C599" s="3"/>
      <c r="D599" s="3"/>
      <c r="E599" s="3"/>
      <c r="S599" s="3"/>
      <c r="T599" s="3"/>
      <c r="AI599" s="3"/>
      <c r="AJ599" s="3"/>
      <c r="AK599" s="3"/>
      <c r="AL599" s="3"/>
      <c r="AM599" s="3"/>
      <c r="AN599" s="3"/>
    </row>
    <row r="600" spans="3:40">
      <c r="C600" s="3"/>
      <c r="D600" s="3"/>
      <c r="E600" s="3"/>
      <c r="S600" s="3"/>
      <c r="T600" s="3"/>
      <c r="AI600" s="3"/>
      <c r="AJ600" s="3"/>
      <c r="AK600" s="3"/>
      <c r="AL600" s="3"/>
      <c r="AM600" s="3"/>
      <c r="AN600" s="3"/>
    </row>
    <row r="601" spans="3:40">
      <c r="C601" s="3"/>
      <c r="D601" s="3"/>
      <c r="E601" s="3"/>
      <c r="S601" s="3"/>
      <c r="T601" s="3"/>
      <c r="AI601" s="3"/>
      <c r="AJ601" s="3"/>
      <c r="AK601" s="3"/>
      <c r="AL601" s="3"/>
      <c r="AM601" s="3"/>
      <c r="AN601" s="3"/>
    </row>
    <row r="602" spans="3:40">
      <c r="C602" s="3"/>
      <c r="D602" s="3"/>
      <c r="E602" s="3"/>
      <c r="S602" s="3"/>
      <c r="T602" s="3"/>
      <c r="AI602" s="3"/>
      <c r="AJ602" s="3"/>
      <c r="AK602" s="3"/>
      <c r="AL602" s="3"/>
      <c r="AM602" s="3"/>
      <c r="AN602" s="3"/>
    </row>
    <row r="603" spans="3:40">
      <c r="C603" s="3"/>
      <c r="D603" s="3"/>
      <c r="E603" s="3"/>
      <c r="S603" s="3"/>
      <c r="T603" s="3"/>
      <c r="AI603" s="3"/>
      <c r="AJ603" s="3"/>
      <c r="AK603" s="3"/>
      <c r="AL603" s="3"/>
      <c r="AM603" s="3"/>
      <c r="AN603" s="3"/>
    </row>
    <row r="604" spans="3:40">
      <c r="C604" s="3"/>
      <c r="D604" s="3"/>
      <c r="E604" s="3"/>
      <c r="S604" s="3"/>
      <c r="T604" s="3"/>
      <c r="AI604" s="3"/>
      <c r="AJ604" s="3"/>
      <c r="AK604" s="3"/>
      <c r="AL604" s="3"/>
      <c r="AM604" s="3"/>
      <c r="AN604" s="3"/>
    </row>
    <row r="605" spans="3:40">
      <c r="C605" s="3"/>
      <c r="D605" s="3"/>
      <c r="E605" s="3"/>
      <c r="S605" s="3"/>
      <c r="T605" s="3"/>
      <c r="AI605" s="3"/>
      <c r="AJ605" s="3"/>
      <c r="AK605" s="3"/>
      <c r="AL605" s="3"/>
      <c r="AM605" s="3"/>
      <c r="AN605" s="3"/>
    </row>
    <row r="606" spans="3:40">
      <c r="C606" s="3"/>
      <c r="D606" s="3"/>
      <c r="E606" s="3"/>
      <c r="S606" s="3"/>
      <c r="T606" s="3"/>
      <c r="AI606" s="3"/>
      <c r="AJ606" s="3"/>
      <c r="AK606" s="3"/>
      <c r="AL606" s="3"/>
      <c r="AM606" s="3"/>
      <c r="AN606" s="3"/>
    </row>
    <row r="607" spans="3:40">
      <c r="C607" s="3"/>
      <c r="D607" s="3"/>
      <c r="E607" s="3"/>
      <c r="S607" s="3"/>
      <c r="T607" s="3"/>
      <c r="AI607" s="3"/>
      <c r="AJ607" s="3"/>
      <c r="AK607" s="3"/>
      <c r="AL607" s="3"/>
      <c r="AM607" s="3"/>
      <c r="AN607" s="3"/>
    </row>
    <row r="608" spans="3:40">
      <c r="C608" s="3"/>
      <c r="D608" s="3"/>
      <c r="E608" s="3"/>
      <c r="S608" s="3"/>
      <c r="T608" s="3"/>
      <c r="AI608" s="3"/>
      <c r="AJ608" s="3"/>
      <c r="AK608" s="3"/>
      <c r="AL608" s="3"/>
      <c r="AM608" s="3"/>
      <c r="AN608" s="3"/>
    </row>
    <row r="609" spans="3:40">
      <c r="C609" s="3"/>
      <c r="D609" s="3"/>
      <c r="E609" s="3"/>
      <c r="S609" s="3"/>
      <c r="T609" s="3"/>
      <c r="AI609" s="3"/>
      <c r="AJ609" s="3"/>
      <c r="AK609" s="3"/>
      <c r="AL609" s="3"/>
      <c r="AM609" s="3"/>
      <c r="AN609" s="3"/>
    </row>
    <row r="610" spans="3:40">
      <c r="C610" s="3"/>
      <c r="D610" s="3"/>
      <c r="E610" s="3"/>
      <c r="S610" s="3"/>
      <c r="T610" s="3"/>
      <c r="AI610" s="3"/>
      <c r="AJ610" s="3"/>
      <c r="AK610" s="3"/>
      <c r="AL610" s="3"/>
      <c r="AM610" s="3"/>
      <c r="AN610" s="3"/>
    </row>
    <row r="611" spans="3:40">
      <c r="C611" s="3"/>
      <c r="D611" s="3"/>
      <c r="E611" s="3"/>
      <c r="S611" s="3"/>
      <c r="T611" s="3"/>
      <c r="AI611" s="3"/>
      <c r="AJ611" s="3"/>
      <c r="AK611" s="3"/>
      <c r="AL611" s="3"/>
      <c r="AM611" s="3"/>
      <c r="AN611" s="3"/>
    </row>
    <row r="612" spans="3:40">
      <c r="C612" s="3"/>
      <c r="D612" s="3"/>
      <c r="E612" s="3"/>
      <c r="S612" s="3"/>
      <c r="T612" s="3"/>
      <c r="AI612" s="3"/>
      <c r="AJ612" s="3"/>
      <c r="AK612" s="3"/>
      <c r="AL612" s="3"/>
      <c r="AM612" s="3"/>
      <c r="AN612" s="3"/>
    </row>
    <row r="613" spans="3:40">
      <c r="C613" s="3"/>
      <c r="D613" s="3"/>
      <c r="E613" s="3"/>
      <c r="S613" s="3"/>
      <c r="T613" s="3"/>
      <c r="AI613" s="3"/>
      <c r="AJ613" s="3"/>
      <c r="AK613" s="3"/>
      <c r="AL613" s="3"/>
      <c r="AM613" s="3"/>
      <c r="AN613" s="3"/>
    </row>
    <row r="614" spans="3:40">
      <c r="C614" s="3"/>
      <c r="D614" s="3"/>
      <c r="E614" s="3"/>
      <c r="S614" s="3"/>
      <c r="T614" s="3"/>
      <c r="AI614" s="3"/>
      <c r="AJ614" s="3"/>
      <c r="AK614" s="3"/>
      <c r="AL614" s="3"/>
      <c r="AM614" s="3"/>
      <c r="AN614" s="3"/>
    </row>
    <row r="615" spans="3:40">
      <c r="C615" s="3"/>
      <c r="D615" s="3"/>
      <c r="E615" s="3"/>
      <c r="S615" s="3"/>
      <c r="T615" s="3"/>
      <c r="AI615" s="3"/>
      <c r="AJ615" s="3"/>
      <c r="AK615" s="3"/>
      <c r="AL615" s="3"/>
      <c r="AM615" s="3"/>
      <c r="AN615" s="3"/>
    </row>
    <row r="616" spans="3:40">
      <c r="C616" s="3"/>
      <c r="D616" s="3"/>
      <c r="E616" s="3"/>
      <c r="S616" s="3"/>
      <c r="T616" s="3"/>
      <c r="AI616" s="3"/>
      <c r="AJ616" s="3"/>
      <c r="AK616" s="3"/>
      <c r="AL616" s="3"/>
      <c r="AM616" s="3"/>
      <c r="AN616" s="3"/>
    </row>
    <row r="617" spans="3:40">
      <c r="C617" s="3"/>
      <c r="D617" s="3"/>
      <c r="E617" s="3"/>
      <c r="S617" s="3"/>
      <c r="T617" s="3"/>
      <c r="AI617" s="3"/>
      <c r="AJ617" s="3"/>
      <c r="AK617" s="3"/>
      <c r="AL617" s="3"/>
      <c r="AM617" s="3"/>
      <c r="AN617" s="3"/>
    </row>
    <row r="618" spans="3:40">
      <c r="C618" s="3"/>
      <c r="D618" s="3"/>
      <c r="E618" s="3"/>
      <c r="S618" s="3"/>
      <c r="T618" s="3"/>
      <c r="AI618" s="3"/>
      <c r="AJ618" s="3"/>
      <c r="AK618" s="3"/>
      <c r="AL618" s="3"/>
      <c r="AM618" s="3"/>
      <c r="AN618" s="3"/>
    </row>
    <row r="619" spans="3:40">
      <c r="C619" s="3"/>
      <c r="D619" s="3"/>
      <c r="E619" s="3"/>
      <c r="S619" s="3"/>
      <c r="T619" s="3"/>
      <c r="AI619" s="3"/>
      <c r="AJ619" s="3"/>
      <c r="AK619" s="3"/>
      <c r="AL619" s="3"/>
      <c r="AM619" s="3"/>
      <c r="AN619" s="3"/>
    </row>
    <row r="620" spans="3:40">
      <c r="C620" s="3"/>
      <c r="D620" s="3"/>
      <c r="E620" s="3"/>
      <c r="S620" s="3"/>
      <c r="T620" s="3"/>
      <c r="AI620" s="3"/>
      <c r="AJ620" s="3"/>
      <c r="AK620" s="3"/>
      <c r="AL620" s="3"/>
      <c r="AM620" s="3"/>
      <c r="AN620" s="3"/>
    </row>
    <row r="621" spans="3:40">
      <c r="C621" s="3"/>
      <c r="D621" s="3"/>
      <c r="E621" s="3"/>
      <c r="S621" s="3"/>
      <c r="T621" s="3"/>
      <c r="AI621" s="3"/>
      <c r="AJ621" s="3"/>
      <c r="AK621" s="3"/>
      <c r="AL621" s="3"/>
      <c r="AM621" s="3"/>
      <c r="AN621" s="3"/>
    </row>
    <row r="622" spans="3:40">
      <c r="C622" s="3"/>
      <c r="D622" s="3"/>
      <c r="E622" s="3"/>
      <c r="S622" s="3"/>
      <c r="T622" s="3"/>
      <c r="AI622" s="3"/>
      <c r="AJ622" s="3"/>
      <c r="AK622" s="3"/>
      <c r="AL622" s="3"/>
      <c r="AM622" s="3"/>
      <c r="AN622" s="3"/>
    </row>
    <row r="623" spans="3:40">
      <c r="C623" s="3"/>
      <c r="D623" s="3"/>
      <c r="E623" s="3"/>
      <c r="S623" s="3"/>
      <c r="T623" s="3"/>
      <c r="AI623" s="3"/>
      <c r="AJ623" s="3"/>
      <c r="AK623" s="3"/>
      <c r="AL623" s="3"/>
      <c r="AM623" s="3"/>
      <c r="AN623" s="3"/>
    </row>
    <row r="624" spans="3:40">
      <c r="C624" s="3"/>
      <c r="D624" s="3"/>
      <c r="E624" s="3"/>
      <c r="S624" s="3"/>
      <c r="T624" s="3"/>
      <c r="AI624" s="3"/>
      <c r="AJ624" s="3"/>
      <c r="AK624" s="3"/>
      <c r="AL624" s="3"/>
      <c r="AM624" s="3"/>
      <c r="AN624" s="3"/>
    </row>
    <row r="625" spans="3:40">
      <c r="C625" s="3"/>
      <c r="D625" s="3"/>
      <c r="E625" s="3"/>
      <c r="S625" s="3"/>
      <c r="T625" s="3"/>
      <c r="AI625" s="3"/>
      <c r="AJ625" s="3"/>
      <c r="AK625" s="3"/>
      <c r="AL625" s="3"/>
      <c r="AM625" s="3"/>
      <c r="AN625" s="3"/>
    </row>
    <row r="626" spans="3:40">
      <c r="C626" s="3"/>
      <c r="D626" s="3"/>
      <c r="E626" s="3"/>
      <c r="S626" s="3"/>
      <c r="T626" s="3"/>
      <c r="AI626" s="3"/>
      <c r="AJ626" s="3"/>
      <c r="AK626" s="3"/>
      <c r="AL626" s="3"/>
      <c r="AM626" s="3"/>
      <c r="AN626" s="3"/>
    </row>
    <row r="627" spans="3:40">
      <c r="C627" s="3"/>
      <c r="D627" s="3"/>
      <c r="E627" s="3"/>
      <c r="S627" s="3"/>
      <c r="T627" s="3"/>
      <c r="AI627" s="3"/>
      <c r="AJ627" s="3"/>
      <c r="AK627" s="3"/>
      <c r="AL627" s="3"/>
      <c r="AM627" s="3"/>
      <c r="AN627" s="3"/>
    </row>
    <row r="628" spans="3:40">
      <c r="C628" s="3"/>
      <c r="D628" s="3"/>
      <c r="E628" s="3"/>
      <c r="S628" s="3"/>
      <c r="T628" s="3"/>
      <c r="AI628" s="3"/>
      <c r="AJ628" s="3"/>
      <c r="AK628" s="3"/>
      <c r="AL628" s="3"/>
      <c r="AM628" s="3"/>
      <c r="AN628" s="3"/>
    </row>
    <row r="629" spans="3:40">
      <c r="C629" s="3"/>
      <c r="D629" s="3"/>
      <c r="E629" s="3"/>
      <c r="S629" s="3"/>
      <c r="T629" s="3"/>
      <c r="AI629" s="3"/>
      <c r="AJ629" s="3"/>
      <c r="AK629" s="3"/>
      <c r="AL629" s="3"/>
      <c r="AM629" s="3"/>
      <c r="AN629" s="3"/>
    </row>
    <row r="630" spans="3:40">
      <c r="C630" s="3"/>
      <c r="D630" s="3"/>
      <c r="E630" s="3"/>
      <c r="S630" s="3"/>
      <c r="T630" s="3"/>
      <c r="AI630" s="3"/>
      <c r="AJ630" s="3"/>
      <c r="AK630" s="3"/>
      <c r="AL630" s="3"/>
      <c r="AM630" s="3"/>
      <c r="AN630" s="3"/>
    </row>
    <row r="631" spans="3:40">
      <c r="C631" s="3"/>
      <c r="D631" s="3"/>
      <c r="E631" s="3"/>
      <c r="S631" s="3"/>
      <c r="T631" s="3"/>
      <c r="AI631" s="3"/>
      <c r="AJ631" s="3"/>
      <c r="AK631" s="3"/>
      <c r="AL631" s="3"/>
      <c r="AM631" s="3"/>
      <c r="AN631" s="3"/>
    </row>
    <row r="632" spans="3:40">
      <c r="C632" s="3"/>
      <c r="D632" s="3"/>
      <c r="E632" s="3"/>
      <c r="S632" s="3"/>
      <c r="T632" s="3"/>
      <c r="AI632" s="3"/>
      <c r="AJ632" s="3"/>
      <c r="AK632" s="3"/>
      <c r="AL632" s="3"/>
      <c r="AM632" s="3"/>
      <c r="AN632" s="3"/>
    </row>
    <row r="633" spans="3:40">
      <c r="C633" s="3"/>
      <c r="D633" s="3"/>
      <c r="E633" s="3"/>
      <c r="S633" s="3"/>
      <c r="T633" s="3"/>
      <c r="AI633" s="3"/>
      <c r="AJ633" s="3"/>
      <c r="AK633" s="3"/>
      <c r="AL633" s="3"/>
      <c r="AM633" s="3"/>
      <c r="AN633" s="3"/>
    </row>
    <row r="634" spans="3:40">
      <c r="C634" s="3"/>
      <c r="D634" s="3"/>
      <c r="E634" s="3"/>
      <c r="S634" s="3"/>
      <c r="T634" s="3"/>
      <c r="AI634" s="3"/>
      <c r="AJ634" s="3"/>
      <c r="AK634" s="3"/>
      <c r="AL634" s="3"/>
      <c r="AM634" s="3"/>
      <c r="AN634" s="3"/>
    </row>
    <row r="635" spans="3:40">
      <c r="C635" s="3"/>
      <c r="D635" s="3"/>
      <c r="E635" s="3"/>
      <c r="S635" s="3"/>
      <c r="T635" s="3"/>
      <c r="AI635" s="3"/>
      <c r="AJ635" s="3"/>
      <c r="AK635" s="3"/>
      <c r="AL635" s="3"/>
      <c r="AM635" s="3"/>
      <c r="AN635" s="3"/>
    </row>
    <row r="636" spans="3:40">
      <c r="C636" s="3"/>
      <c r="D636" s="3"/>
      <c r="E636" s="3"/>
      <c r="S636" s="3"/>
      <c r="T636" s="3"/>
      <c r="AI636" s="3"/>
      <c r="AJ636" s="3"/>
      <c r="AK636" s="3"/>
      <c r="AL636" s="3"/>
      <c r="AM636" s="3"/>
      <c r="AN636" s="3"/>
    </row>
    <row r="637" spans="3:40">
      <c r="C637" s="3"/>
      <c r="D637" s="3"/>
      <c r="E637" s="3"/>
      <c r="S637" s="3"/>
      <c r="T637" s="3"/>
      <c r="AI637" s="3"/>
      <c r="AJ637" s="3"/>
      <c r="AK637" s="3"/>
      <c r="AL637" s="3"/>
      <c r="AM637" s="3"/>
      <c r="AN637" s="3"/>
    </row>
    <row r="638" spans="3:40">
      <c r="C638" s="3"/>
      <c r="D638" s="3"/>
      <c r="E638" s="3"/>
      <c r="S638" s="3"/>
      <c r="T638" s="3"/>
      <c r="AI638" s="3"/>
      <c r="AJ638" s="3"/>
      <c r="AK638" s="3"/>
      <c r="AL638" s="3"/>
      <c r="AM638" s="3"/>
      <c r="AN638" s="3"/>
    </row>
    <row r="639" spans="3:40">
      <c r="C639" s="3"/>
      <c r="D639" s="3"/>
      <c r="E639" s="3"/>
      <c r="S639" s="3"/>
      <c r="T639" s="3"/>
      <c r="AI639" s="3"/>
      <c r="AJ639" s="3"/>
      <c r="AK639" s="3"/>
      <c r="AL639" s="3"/>
      <c r="AM639" s="3"/>
      <c r="AN639" s="3"/>
    </row>
    <row r="640" spans="3:40">
      <c r="C640" s="3"/>
      <c r="D640" s="3"/>
      <c r="E640" s="3"/>
      <c r="S640" s="3"/>
      <c r="T640" s="3"/>
      <c r="AI640" s="3"/>
      <c r="AJ640" s="3"/>
      <c r="AK640" s="3"/>
      <c r="AL640" s="3"/>
      <c r="AM640" s="3"/>
      <c r="AN640" s="3"/>
    </row>
    <row r="641" spans="3:40">
      <c r="C641" s="3"/>
      <c r="D641" s="3"/>
      <c r="E641" s="3"/>
      <c r="S641" s="3"/>
      <c r="T641" s="3"/>
      <c r="AI641" s="3"/>
      <c r="AJ641" s="3"/>
      <c r="AK641" s="3"/>
      <c r="AL641" s="3"/>
      <c r="AM641" s="3"/>
      <c r="AN641" s="3"/>
    </row>
    <row r="642" spans="3:40">
      <c r="C642" s="3"/>
      <c r="D642" s="3"/>
      <c r="E642" s="3"/>
      <c r="S642" s="3"/>
      <c r="T642" s="3"/>
      <c r="AI642" s="3"/>
      <c r="AJ642" s="3"/>
      <c r="AK642" s="3"/>
      <c r="AL642" s="3"/>
      <c r="AM642" s="3"/>
      <c r="AN642" s="3"/>
    </row>
    <row r="643" spans="3:40">
      <c r="C643" s="3"/>
      <c r="D643" s="3"/>
      <c r="E643" s="3"/>
      <c r="S643" s="3"/>
      <c r="T643" s="3"/>
      <c r="AI643" s="3"/>
      <c r="AJ643" s="3"/>
      <c r="AK643" s="3"/>
      <c r="AL643" s="3"/>
      <c r="AM643" s="3"/>
      <c r="AN643" s="3"/>
    </row>
    <row r="644" spans="3:40">
      <c r="C644" s="3"/>
      <c r="D644" s="3"/>
      <c r="E644" s="3"/>
      <c r="S644" s="3"/>
      <c r="T644" s="3"/>
      <c r="AI644" s="3"/>
      <c r="AJ644" s="3"/>
      <c r="AK644" s="3"/>
      <c r="AL644" s="3"/>
      <c r="AM644" s="3"/>
      <c r="AN644" s="3"/>
    </row>
    <row r="645" spans="3:40">
      <c r="C645" s="3"/>
      <c r="D645" s="3"/>
      <c r="E645" s="3"/>
      <c r="S645" s="3"/>
      <c r="T645" s="3"/>
      <c r="AI645" s="3"/>
      <c r="AJ645" s="3"/>
      <c r="AK645" s="3"/>
      <c r="AL645" s="3"/>
      <c r="AM645" s="3"/>
      <c r="AN645" s="3"/>
    </row>
    <row r="646" spans="3:40">
      <c r="C646" s="3"/>
      <c r="D646" s="3"/>
      <c r="E646" s="3"/>
      <c r="S646" s="3"/>
      <c r="T646" s="3"/>
      <c r="AI646" s="3"/>
      <c r="AJ646" s="3"/>
      <c r="AK646" s="3"/>
      <c r="AL646" s="3"/>
      <c r="AM646" s="3"/>
      <c r="AN646" s="3"/>
    </row>
    <row r="647" spans="3:40">
      <c r="C647" s="3"/>
      <c r="D647" s="3"/>
      <c r="E647" s="3"/>
      <c r="S647" s="3"/>
      <c r="T647" s="3"/>
      <c r="AI647" s="3"/>
      <c r="AJ647" s="3"/>
      <c r="AK647" s="3"/>
      <c r="AL647" s="3"/>
      <c r="AM647" s="3"/>
      <c r="AN647" s="3"/>
    </row>
    <row r="648" spans="3:40">
      <c r="C648" s="3"/>
      <c r="D648" s="3"/>
      <c r="E648" s="3"/>
      <c r="S648" s="3"/>
      <c r="T648" s="3"/>
      <c r="AI648" s="3"/>
      <c r="AJ648" s="3"/>
      <c r="AK648" s="3"/>
      <c r="AL648" s="3"/>
      <c r="AM648" s="3"/>
      <c r="AN648" s="3"/>
    </row>
    <row r="649" spans="3:40">
      <c r="C649" s="3"/>
      <c r="D649" s="3"/>
      <c r="E649" s="3"/>
      <c r="S649" s="3"/>
      <c r="T649" s="3"/>
      <c r="AI649" s="3"/>
      <c r="AJ649" s="3"/>
      <c r="AK649" s="3"/>
      <c r="AL649" s="3"/>
      <c r="AM649" s="3"/>
      <c r="AN649" s="3"/>
    </row>
    <row r="650" spans="3:40">
      <c r="C650" s="3"/>
      <c r="D650" s="3"/>
      <c r="E650" s="3"/>
      <c r="S650" s="3"/>
      <c r="T650" s="3"/>
      <c r="AI650" s="3"/>
      <c r="AJ650" s="3"/>
      <c r="AK650" s="3"/>
      <c r="AL650" s="3"/>
      <c r="AM650" s="3"/>
      <c r="AN650" s="3"/>
    </row>
    <row r="651" spans="3:40">
      <c r="C651" s="3"/>
      <c r="D651" s="3"/>
      <c r="E651" s="3"/>
      <c r="S651" s="3"/>
      <c r="T651" s="3"/>
      <c r="AI651" s="3"/>
      <c r="AJ651" s="3"/>
      <c r="AK651" s="3"/>
      <c r="AL651" s="3"/>
      <c r="AM651" s="3"/>
      <c r="AN651" s="3"/>
    </row>
    <row r="652" spans="3:40">
      <c r="C652" s="3"/>
      <c r="D652" s="3"/>
      <c r="E652" s="3"/>
      <c r="S652" s="3"/>
      <c r="T652" s="3"/>
      <c r="AI652" s="3"/>
      <c r="AJ652" s="3"/>
      <c r="AK652" s="3"/>
      <c r="AL652" s="3"/>
      <c r="AM652" s="3"/>
      <c r="AN652" s="3"/>
    </row>
    <row r="653" spans="3:40">
      <c r="C653" s="3"/>
      <c r="D653" s="3"/>
      <c r="E653" s="3"/>
      <c r="S653" s="3"/>
      <c r="T653" s="3"/>
      <c r="AI653" s="3"/>
      <c r="AJ653" s="3"/>
      <c r="AK653" s="3"/>
      <c r="AL653" s="3"/>
      <c r="AM653" s="3"/>
      <c r="AN653" s="3"/>
    </row>
    <row r="654" spans="3:40">
      <c r="C654" s="3"/>
      <c r="D654" s="3"/>
      <c r="E654" s="3"/>
      <c r="S654" s="3"/>
      <c r="T654" s="3"/>
      <c r="AI654" s="3"/>
      <c r="AJ654" s="3"/>
      <c r="AK654" s="3"/>
      <c r="AL654" s="3"/>
      <c r="AM654" s="3"/>
      <c r="AN654" s="3"/>
    </row>
    <row r="655" spans="3:40">
      <c r="C655" s="3"/>
      <c r="D655" s="3"/>
      <c r="E655" s="3"/>
      <c r="S655" s="3"/>
      <c r="T655" s="3"/>
      <c r="AI655" s="3"/>
      <c r="AJ655" s="3"/>
      <c r="AK655" s="3"/>
      <c r="AL655" s="3"/>
      <c r="AM655" s="3"/>
      <c r="AN655" s="3"/>
    </row>
    <row r="656" spans="3:40">
      <c r="C656" s="3"/>
      <c r="D656" s="3"/>
      <c r="E656" s="3"/>
      <c r="S656" s="3"/>
      <c r="T656" s="3"/>
      <c r="AI656" s="3"/>
      <c r="AJ656" s="3"/>
      <c r="AK656" s="3"/>
      <c r="AL656" s="3"/>
      <c r="AM656" s="3"/>
      <c r="AN656" s="3"/>
    </row>
    <row r="657" spans="3:40">
      <c r="C657" s="3"/>
      <c r="D657" s="3"/>
      <c r="E657" s="3"/>
      <c r="S657" s="3"/>
      <c r="T657" s="3"/>
      <c r="AI657" s="3"/>
      <c r="AJ657" s="3"/>
      <c r="AK657" s="3"/>
      <c r="AL657" s="3"/>
      <c r="AM657" s="3"/>
      <c r="AN657" s="3"/>
    </row>
    <row r="658" spans="3:40">
      <c r="C658" s="3"/>
      <c r="D658" s="3"/>
      <c r="E658" s="3"/>
      <c r="S658" s="3"/>
      <c r="T658" s="3"/>
      <c r="AI658" s="3"/>
      <c r="AJ658" s="3"/>
      <c r="AK658" s="3"/>
      <c r="AL658" s="3"/>
      <c r="AM658" s="3"/>
      <c r="AN658" s="3"/>
    </row>
    <row r="659" spans="3:40">
      <c r="C659" s="3"/>
      <c r="D659" s="3"/>
      <c r="E659" s="3"/>
      <c r="S659" s="3"/>
      <c r="T659" s="3"/>
      <c r="AI659" s="3"/>
      <c r="AJ659" s="3"/>
      <c r="AK659" s="3"/>
      <c r="AL659" s="3"/>
      <c r="AM659" s="3"/>
      <c r="AN659" s="3"/>
    </row>
    <row r="660" spans="3:40">
      <c r="C660" s="3"/>
      <c r="D660" s="3"/>
      <c r="E660" s="3"/>
      <c r="S660" s="3"/>
      <c r="T660" s="3"/>
      <c r="AI660" s="3"/>
      <c r="AJ660" s="3"/>
      <c r="AK660" s="3"/>
      <c r="AL660" s="3"/>
      <c r="AM660" s="3"/>
      <c r="AN660" s="3"/>
    </row>
    <row r="661" spans="3:40">
      <c r="C661" s="3"/>
      <c r="D661" s="3"/>
      <c r="E661" s="3"/>
      <c r="S661" s="3"/>
      <c r="T661" s="3"/>
      <c r="AI661" s="3"/>
      <c r="AJ661" s="3"/>
      <c r="AK661" s="3"/>
      <c r="AL661" s="3"/>
      <c r="AM661" s="3"/>
      <c r="AN661" s="3"/>
    </row>
    <row r="662" spans="3:40">
      <c r="C662" s="3"/>
      <c r="D662" s="3"/>
      <c r="E662" s="3"/>
      <c r="S662" s="3"/>
      <c r="T662" s="3"/>
      <c r="AI662" s="3"/>
      <c r="AJ662" s="3"/>
      <c r="AK662" s="3"/>
      <c r="AL662" s="3"/>
      <c r="AM662" s="3"/>
      <c r="AN662" s="3"/>
    </row>
    <row r="663" spans="3:40">
      <c r="C663" s="3"/>
      <c r="D663" s="3"/>
      <c r="E663" s="3"/>
      <c r="S663" s="3"/>
      <c r="T663" s="3"/>
      <c r="AI663" s="3"/>
      <c r="AJ663" s="3"/>
      <c r="AK663" s="3"/>
      <c r="AL663" s="3"/>
      <c r="AM663" s="3"/>
      <c r="AN663" s="3"/>
    </row>
    <row r="664" spans="3:40">
      <c r="C664" s="3"/>
      <c r="D664" s="3"/>
      <c r="E664" s="3"/>
      <c r="S664" s="3"/>
      <c r="T664" s="3"/>
      <c r="AI664" s="3"/>
      <c r="AJ664" s="3"/>
      <c r="AK664" s="3"/>
      <c r="AL664" s="3"/>
      <c r="AM664" s="3"/>
      <c r="AN664" s="3"/>
    </row>
    <row r="665" spans="3:40">
      <c r="C665" s="3"/>
      <c r="D665" s="3"/>
      <c r="E665" s="3"/>
      <c r="S665" s="3"/>
      <c r="T665" s="3"/>
      <c r="AI665" s="3"/>
      <c r="AJ665" s="3"/>
      <c r="AK665" s="3"/>
      <c r="AL665" s="3"/>
      <c r="AM665" s="3"/>
      <c r="AN665" s="3"/>
    </row>
    <row r="666" spans="3:40">
      <c r="C666" s="3"/>
      <c r="D666" s="3"/>
      <c r="E666" s="3"/>
      <c r="S666" s="3"/>
      <c r="T666" s="3"/>
      <c r="AI666" s="3"/>
      <c r="AJ666" s="3"/>
      <c r="AK666" s="3"/>
      <c r="AL666" s="3"/>
      <c r="AM666" s="3"/>
      <c r="AN666" s="3"/>
    </row>
    <row r="667" spans="3:40">
      <c r="C667" s="3"/>
      <c r="D667" s="3"/>
      <c r="E667" s="3"/>
      <c r="S667" s="3"/>
      <c r="T667" s="3"/>
      <c r="AI667" s="3"/>
      <c r="AJ667" s="3"/>
      <c r="AK667" s="3"/>
      <c r="AL667" s="3"/>
      <c r="AM667" s="3"/>
      <c r="AN667" s="3"/>
    </row>
    <row r="668" spans="3:40">
      <c r="C668" s="3"/>
      <c r="D668" s="3"/>
      <c r="E668" s="3"/>
      <c r="S668" s="3"/>
      <c r="T668" s="3"/>
      <c r="AI668" s="3"/>
      <c r="AJ668" s="3"/>
      <c r="AK668" s="3"/>
      <c r="AL668" s="3"/>
      <c r="AM668" s="3"/>
      <c r="AN668" s="3"/>
    </row>
    <row r="669" spans="3:40">
      <c r="C669" s="3"/>
      <c r="D669" s="3"/>
      <c r="E669" s="3"/>
      <c r="S669" s="3"/>
      <c r="T669" s="3"/>
      <c r="AI669" s="3"/>
      <c r="AJ669" s="3"/>
      <c r="AK669" s="3"/>
      <c r="AL669" s="3"/>
      <c r="AM669" s="3"/>
      <c r="AN669" s="3"/>
    </row>
    <row r="670" spans="3:40">
      <c r="C670" s="3"/>
      <c r="D670" s="3"/>
      <c r="E670" s="3"/>
      <c r="S670" s="3"/>
      <c r="T670" s="3"/>
      <c r="AI670" s="3"/>
      <c r="AJ670" s="3"/>
      <c r="AK670" s="3"/>
      <c r="AL670" s="3"/>
      <c r="AM670" s="3"/>
      <c r="AN670" s="3"/>
    </row>
    <row r="671" spans="3:40">
      <c r="C671" s="3"/>
      <c r="D671" s="3"/>
      <c r="E671" s="3"/>
      <c r="S671" s="3"/>
      <c r="T671" s="3"/>
      <c r="AI671" s="3"/>
      <c r="AJ671" s="3"/>
      <c r="AK671" s="3"/>
      <c r="AL671" s="3"/>
      <c r="AM671" s="3"/>
      <c r="AN671" s="3"/>
    </row>
    <row r="672" spans="3:40">
      <c r="C672" s="3"/>
      <c r="D672" s="3"/>
      <c r="E672" s="3"/>
      <c r="S672" s="3"/>
      <c r="T672" s="3"/>
      <c r="AI672" s="3"/>
      <c r="AJ672" s="3"/>
      <c r="AK672" s="3"/>
      <c r="AL672" s="3"/>
      <c r="AM672" s="3"/>
      <c r="AN672" s="3"/>
    </row>
    <row r="673" spans="3:40">
      <c r="C673" s="3"/>
      <c r="D673" s="3"/>
      <c r="E673" s="3"/>
      <c r="S673" s="3"/>
      <c r="T673" s="3"/>
      <c r="AI673" s="3"/>
      <c r="AJ673" s="3"/>
      <c r="AK673" s="3"/>
      <c r="AL673" s="3"/>
      <c r="AM673" s="3"/>
      <c r="AN673" s="3"/>
    </row>
    <row r="674" spans="3:40">
      <c r="C674" s="3"/>
      <c r="D674" s="3"/>
      <c r="E674" s="3"/>
      <c r="S674" s="3"/>
      <c r="T674" s="3"/>
      <c r="AI674" s="3"/>
      <c r="AJ674" s="3"/>
      <c r="AK674" s="3"/>
      <c r="AL674" s="3"/>
      <c r="AM674" s="3"/>
      <c r="AN674" s="3"/>
    </row>
    <row r="675" spans="3:40">
      <c r="C675" s="3"/>
      <c r="D675" s="3"/>
      <c r="E675" s="3"/>
      <c r="S675" s="3"/>
      <c r="T675" s="3"/>
      <c r="AI675" s="3"/>
      <c r="AJ675" s="3"/>
      <c r="AK675" s="3"/>
      <c r="AL675" s="3"/>
      <c r="AM675" s="3"/>
      <c r="AN675" s="3"/>
    </row>
    <row r="676" spans="3:40">
      <c r="C676" s="3"/>
      <c r="D676" s="3"/>
      <c r="E676" s="3"/>
      <c r="S676" s="3"/>
      <c r="T676" s="3"/>
      <c r="AI676" s="3"/>
      <c r="AJ676" s="3"/>
      <c r="AK676" s="3"/>
      <c r="AL676" s="3"/>
      <c r="AM676" s="3"/>
      <c r="AN676" s="3"/>
    </row>
    <row r="677" spans="3:40">
      <c r="C677" s="3"/>
      <c r="D677" s="3"/>
      <c r="E677" s="3"/>
      <c r="S677" s="3"/>
      <c r="T677" s="3"/>
      <c r="AI677" s="3"/>
      <c r="AJ677" s="3"/>
      <c r="AK677" s="3"/>
      <c r="AL677" s="3"/>
      <c r="AM677" s="3"/>
      <c r="AN677" s="3"/>
    </row>
    <row r="678" spans="3:40">
      <c r="C678" s="3"/>
      <c r="D678" s="3"/>
      <c r="E678" s="3"/>
      <c r="S678" s="3"/>
      <c r="T678" s="3"/>
      <c r="AI678" s="3"/>
      <c r="AJ678" s="3"/>
      <c r="AK678" s="3"/>
      <c r="AL678" s="3"/>
      <c r="AM678" s="3"/>
      <c r="AN678" s="3"/>
    </row>
    <row r="679" spans="3:40">
      <c r="C679" s="3"/>
      <c r="D679" s="3"/>
      <c r="E679" s="3"/>
      <c r="S679" s="3"/>
      <c r="T679" s="3"/>
      <c r="AI679" s="3"/>
      <c r="AJ679" s="3"/>
      <c r="AK679" s="3"/>
      <c r="AL679" s="3"/>
      <c r="AM679" s="3"/>
      <c r="AN679" s="3"/>
    </row>
    <row r="680" spans="3:40">
      <c r="C680" s="3"/>
      <c r="D680" s="3"/>
      <c r="E680" s="3"/>
      <c r="S680" s="3"/>
      <c r="T680" s="3"/>
      <c r="AI680" s="3"/>
      <c r="AJ680" s="3"/>
      <c r="AK680" s="3"/>
      <c r="AL680" s="3"/>
      <c r="AM680" s="3"/>
      <c r="AN680" s="3"/>
    </row>
    <row r="681" spans="3:40">
      <c r="C681" s="3"/>
      <c r="D681" s="3"/>
      <c r="E681" s="3"/>
      <c r="S681" s="3"/>
      <c r="T681" s="3"/>
      <c r="AI681" s="3"/>
      <c r="AJ681" s="3"/>
      <c r="AK681" s="3"/>
      <c r="AL681" s="3"/>
      <c r="AM681" s="3"/>
      <c r="AN681" s="3"/>
    </row>
    <row r="682" spans="3:40">
      <c r="C682" s="3"/>
      <c r="D682" s="3"/>
      <c r="E682" s="3"/>
      <c r="S682" s="3"/>
      <c r="T682" s="3"/>
      <c r="AI682" s="3"/>
      <c r="AJ682" s="3"/>
      <c r="AK682" s="3"/>
      <c r="AL682" s="3"/>
      <c r="AM682" s="3"/>
      <c r="AN682" s="3"/>
    </row>
    <row r="683" spans="3:40">
      <c r="C683" s="3"/>
      <c r="D683" s="3"/>
      <c r="E683" s="3"/>
      <c r="S683" s="3"/>
      <c r="T683" s="3"/>
      <c r="AI683" s="3"/>
      <c r="AJ683" s="3"/>
      <c r="AK683" s="3"/>
      <c r="AL683" s="3"/>
      <c r="AM683" s="3"/>
      <c r="AN683" s="3"/>
    </row>
    <row r="684" spans="3:40">
      <c r="C684" s="3"/>
      <c r="D684" s="3"/>
      <c r="E684" s="3"/>
      <c r="S684" s="3"/>
      <c r="T684" s="3"/>
      <c r="AI684" s="3"/>
      <c r="AJ684" s="3"/>
      <c r="AK684" s="3"/>
      <c r="AL684" s="3"/>
      <c r="AM684" s="3"/>
      <c r="AN684" s="3"/>
    </row>
    <row r="685" spans="3:40">
      <c r="C685" s="3"/>
      <c r="D685" s="3"/>
      <c r="E685" s="3"/>
      <c r="S685" s="3"/>
      <c r="T685" s="3"/>
      <c r="AI685" s="3"/>
      <c r="AJ685" s="3"/>
      <c r="AK685" s="3"/>
      <c r="AL685" s="3"/>
      <c r="AM685" s="3"/>
      <c r="AN685" s="3"/>
    </row>
    <row r="686" spans="3:40">
      <c r="C686" s="3"/>
      <c r="D686" s="3"/>
      <c r="E686" s="3"/>
      <c r="S686" s="3"/>
      <c r="T686" s="3"/>
      <c r="AI686" s="3"/>
      <c r="AJ686" s="3"/>
      <c r="AK686" s="3"/>
      <c r="AL686" s="3"/>
      <c r="AM686" s="3"/>
      <c r="AN686" s="3"/>
    </row>
    <row r="687" spans="3:40">
      <c r="C687" s="3"/>
      <c r="D687" s="3"/>
      <c r="E687" s="3"/>
      <c r="S687" s="3"/>
      <c r="T687" s="3"/>
      <c r="AI687" s="3"/>
      <c r="AJ687" s="3"/>
      <c r="AK687" s="3"/>
      <c r="AL687" s="3"/>
      <c r="AM687" s="3"/>
      <c r="AN687" s="3"/>
    </row>
    <row r="688" spans="3:40">
      <c r="C688" s="3"/>
      <c r="D688" s="3"/>
      <c r="E688" s="3"/>
      <c r="S688" s="3"/>
      <c r="T688" s="3"/>
      <c r="AI688" s="3"/>
      <c r="AJ688" s="3"/>
      <c r="AK688" s="3"/>
      <c r="AL688" s="3"/>
      <c r="AM688" s="3"/>
      <c r="AN688" s="3"/>
    </row>
    <row r="689" spans="3:40">
      <c r="C689" s="3"/>
      <c r="D689" s="3"/>
      <c r="E689" s="3"/>
      <c r="S689" s="3"/>
      <c r="T689" s="3"/>
      <c r="AI689" s="3"/>
      <c r="AJ689" s="3"/>
      <c r="AK689" s="3"/>
      <c r="AL689" s="3"/>
      <c r="AM689" s="3"/>
      <c r="AN689" s="3"/>
    </row>
    <row r="690" spans="3:40">
      <c r="C690" s="3"/>
      <c r="D690" s="3"/>
      <c r="E690" s="3"/>
      <c r="S690" s="3"/>
      <c r="T690" s="3"/>
      <c r="AI690" s="3"/>
      <c r="AJ690" s="3"/>
      <c r="AK690" s="3"/>
      <c r="AL690" s="3"/>
      <c r="AM690" s="3"/>
      <c r="AN690" s="3"/>
    </row>
    <row r="691" spans="3:40">
      <c r="C691" s="3"/>
      <c r="D691" s="3"/>
      <c r="E691" s="3"/>
      <c r="S691" s="3"/>
      <c r="T691" s="3"/>
      <c r="AI691" s="3"/>
      <c r="AJ691" s="3"/>
      <c r="AK691" s="3"/>
      <c r="AL691" s="3"/>
      <c r="AM691" s="3"/>
      <c r="AN691" s="3"/>
    </row>
    <row r="692" spans="3:40">
      <c r="C692" s="3"/>
      <c r="D692" s="3"/>
      <c r="E692" s="3"/>
      <c r="S692" s="3"/>
      <c r="T692" s="3"/>
      <c r="AI692" s="3"/>
      <c r="AJ692" s="3"/>
      <c r="AK692" s="3"/>
      <c r="AL692" s="3"/>
      <c r="AM692" s="3"/>
      <c r="AN692" s="3"/>
    </row>
    <row r="693" spans="3:40">
      <c r="C693" s="3"/>
      <c r="D693" s="3"/>
      <c r="E693" s="3"/>
      <c r="S693" s="3"/>
      <c r="T693" s="3"/>
      <c r="AI693" s="3"/>
      <c r="AJ693" s="3"/>
      <c r="AK693" s="3"/>
      <c r="AL693" s="3"/>
      <c r="AM693" s="3"/>
      <c r="AN693" s="3"/>
    </row>
    <row r="694" spans="3:40">
      <c r="C694" s="3"/>
      <c r="D694" s="3"/>
      <c r="E694" s="3"/>
      <c r="S694" s="3"/>
      <c r="T694" s="3"/>
      <c r="AI694" s="3"/>
      <c r="AJ694" s="3"/>
      <c r="AK694" s="3"/>
      <c r="AL694" s="3"/>
      <c r="AM694" s="3"/>
      <c r="AN694" s="3"/>
    </row>
    <row r="695" spans="3:40">
      <c r="C695" s="3"/>
      <c r="D695" s="3"/>
      <c r="E695" s="3"/>
      <c r="S695" s="3"/>
      <c r="T695" s="3"/>
      <c r="AI695" s="3"/>
      <c r="AJ695" s="3"/>
      <c r="AK695" s="3"/>
      <c r="AL695" s="3"/>
      <c r="AM695" s="3"/>
      <c r="AN695" s="3"/>
    </row>
    <row r="696" spans="3:40">
      <c r="C696" s="3"/>
      <c r="D696" s="3"/>
      <c r="E696" s="3"/>
      <c r="S696" s="3"/>
      <c r="T696" s="3"/>
      <c r="AI696" s="3"/>
      <c r="AJ696" s="3"/>
      <c r="AK696" s="3"/>
      <c r="AL696" s="3"/>
      <c r="AM696" s="3"/>
      <c r="AN696" s="3"/>
    </row>
    <row r="697" spans="3:40">
      <c r="C697" s="3"/>
      <c r="D697" s="3"/>
      <c r="E697" s="3"/>
      <c r="S697" s="3"/>
      <c r="T697" s="3"/>
      <c r="AI697" s="3"/>
      <c r="AJ697" s="3"/>
      <c r="AK697" s="3"/>
      <c r="AL697" s="3"/>
      <c r="AM697" s="3"/>
      <c r="AN697" s="3"/>
    </row>
    <row r="698" spans="3:40">
      <c r="C698" s="3"/>
      <c r="D698" s="3"/>
      <c r="E698" s="3"/>
      <c r="S698" s="3"/>
      <c r="T698" s="3"/>
      <c r="AI698" s="3"/>
      <c r="AJ698" s="3"/>
      <c r="AK698" s="3"/>
      <c r="AL698" s="3"/>
      <c r="AM698" s="3"/>
      <c r="AN698" s="3"/>
    </row>
    <row r="699" spans="3:40">
      <c r="C699" s="3"/>
      <c r="D699" s="3"/>
      <c r="E699" s="3"/>
      <c r="S699" s="3"/>
      <c r="T699" s="3"/>
      <c r="AI699" s="3"/>
      <c r="AJ699" s="3"/>
      <c r="AK699" s="3"/>
      <c r="AL699" s="3"/>
      <c r="AM699" s="3"/>
      <c r="AN699" s="3"/>
    </row>
    <row r="700" spans="3:40">
      <c r="C700" s="3"/>
      <c r="D700" s="3"/>
      <c r="E700" s="3"/>
      <c r="S700" s="3"/>
      <c r="T700" s="3"/>
      <c r="AI700" s="3"/>
      <c r="AJ700" s="3"/>
      <c r="AK700" s="3"/>
      <c r="AL700" s="3"/>
      <c r="AM700" s="3"/>
      <c r="AN700" s="3"/>
    </row>
    <row r="701" spans="3:40">
      <c r="C701" s="3"/>
      <c r="D701" s="3"/>
      <c r="E701" s="3"/>
      <c r="S701" s="3"/>
      <c r="T701" s="3"/>
      <c r="AI701" s="3"/>
      <c r="AJ701" s="3"/>
      <c r="AK701" s="3"/>
      <c r="AL701" s="3"/>
      <c r="AM701" s="3"/>
      <c r="AN701" s="3"/>
    </row>
    <row r="702" spans="3:40">
      <c r="C702" s="3"/>
      <c r="D702" s="3"/>
      <c r="E702" s="3"/>
      <c r="S702" s="3"/>
      <c r="T702" s="3"/>
      <c r="AI702" s="3"/>
      <c r="AJ702" s="3"/>
      <c r="AK702" s="3"/>
      <c r="AL702" s="3"/>
      <c r="AM702" s="3"/>
      <c r="AN702" s="3"/>
    </row>
    <row r="703" spans="3:40">
      <c r="C703" s="3"/>
      <c r="D703" s="3"/>
      <c r="E703" s="3"/>
      <c r="S703" s="3"/>
      <c r="T703" s="3"/>
      <c r="AI703" s="3"/>
      <c r="AJ703" s="3"/>
      <c r="AK703" s="3"/>
      <c r="AL703" s="3"/>
      <c r="AM703" s="3"/>
      <c r="AN703" s="3"/>
    </row>
    <row r="704" spans="3:40">
      <c r="C704" s="3"/>
      <c r="D704" s="3"/>
      <c r="E704" s="3"/>
      <c r="S704" s="3"/>
      <c r="T704" s="3"/>
      <c r="AI704" s="3"/>
      <c r="AJ704" s="3"/>
      <c r="AK704" s="3"/>
      <c r="AL704" s="3"/>
      <c r="AM704" s="3"/>
      <c r="AN704" s="3"/>
    </row>
    <row r="705" spans="3:40">
      <c r="C705" s="3"/>
      <c r="D705" s="3"/>
      <c r="E705" s="3"/>
      <c r="S705" s="3"/>
      <c r="T705" s="3"/>
      <c r="AI705" s="3"/>
      <c r="AJ705" s="3"/>
      <c r="AK705" s="3"/>
      <c r="AL705" s="3"/>
      <c r="AM705" s="3"/>
      <c r="AN705" s="3"/>
    </row>
    <row r="706" spans="3:40">
      <c r="C706" s="3"/>
      <c r="D706" s="3"/>
      <c r="E706" s="3"/>
      <c r="S706" s="3"/>
      <c r="T706" s="3"/>
      <c r="AI706" s="3"/>
      <c r="AJ706" s="3"/>
      <c r="AK706" s="3"/>
      <c r="AL706" s="3"/>
      <c r="AM706" s="3"/>
      <c r="AN706" s="3"/>
    </row>
    <row r="707" spans="3:40">
      <c r="C707" s="3"/>
      <c r="D707" s="3"/>
      <c r="E707" s="3"/>
      <c r="S707" s="3"/>
      <c r="T707" s="3"/>
      <c r="AI707" s="3"/>
      <c r="AJ707" s="3"/>
      <c r="AK707" s="3"/>
      <c r="AL707" s="3"/>
      <c r="AM707" s="3"/>
      <c r="AN707" s="3"/>
    </row>
    <row r="708" spans="3:40">
      <c r="C708" s="3"/>
      <c r="D708" s="3"/>
      <c r="E708" s="3"/>
      <c r="S708" s="3"/>
      <c r="T708" s="3"/>
      <c r="AI708" s="3"/>
      <c r="AJ708" s="3"/>
      <c r="AK708" s="3"/>
      <c r="AL708" s="3"/>
      <c r="AM708" s="3"/>
      <c r="AN708" s="3"/>
    </row>
    <row r="709" spans="3:40">
      <c r="C709" s="3"/>
      <c r="D709" s="3"/>
      <c r="E709" s="3"/>
      <c r="S709" s="3"/>
      <c r="T709" s="3"/>
      <c r="AI709" s="3"/>
      <c r="AJ709" s="3"/>
      <c r="AK709" s="3"/>
      <c r="AL709" s="3"/>
      <c r="AM709" s="3"/>
      <c r="AN709" s="3"/>
    </row>
    <row r="710" spans="3:40">
      <c r="C710" s="3"/>
      <c r="D710" s="3"/>
      <c r="E710" s="3"/>
      <c r="S710" s="3"/>
      <c r="T710" s="3"/>
      <c r="AI710" s="3"/>
      <c r="AJ710" s="3"/>
      <c r="AK710" s="3"/>
      <c r="AL710" s="3"/>
      <c r="AM710" s="3"/>
      <c r="AN710" s="3"/>
    </row>
    <row r="711" spans="3:40">
      <c r="C711" s="3"/>
      <c r="D711" s="3"/>
      <c r="E711" s="3"/>
      <c r="S711" s="3"/>
      <c r="T711" s="3"/>
      <c r="AI711" s="3"/>
      <c r="AJ711" s="3"/>
      <c r="AK711" s="3"/>
      <c r="AL711" s="3"/>
      <c r="AM711" s="3"/>
      <c r="AN711" s="3"/>
    </row>
    <row r="712" spans="3:40">
      <c r="C712" s="3"/>
      <c r="D712" s="3"/>
      <c r="E712" s="3"/>
      <c r="S712" s="3"/>
      <c r="T712" s="3"/>
      <c r="AI712" s="3"/>
      <c r="AJ712" s="3"/>
      <c r="AK712" s="3"/>
      <c r="AL712" s="3"/>
      <c r="AM712" s="3"/>
      <c r="AN712" s="3"/>
    </row>
    <row r="713" spans="3:40">
      <c r="C713" s="3"/>
      <c r="D713" s="3"/>
      <c r="E713" s="3"/>
      <c r="S713" s="3"/>
      <c r="T713" s="3"/>
      <c r="AI713" s="3"/>
      <c r="AJ713" s="3"/>
      <c r="AK713" s="3"/>
      <c r="AL713" s="3"/>
      <c r="AM713" s="3"/>
      <c r="AN713" s="3"/>
    </row>
    <row r="714" spans="3:40">
      <c r="C714" s="3"/>
      <c r="D714" s="3"/>
      <c r="E714" s="3"/>
      <c r="S714" s="3"/>
      <c r="T714" s="3"/>
      <c r="AI714" s="3"/>
      <c r="AJ714" s="3"/>
      <c r="AK714" s="3"/>
      <c r="AL714" s="3"/>
      <c r="AM714" s="3"/>
      <c r="AN714" s="3"/>
    </row>
    <row r="715" spans="3:40">
      <c r="C715" s="3"/>
      <c r="D715" s="3"/>
      <c r="E715" s="3"/>
      <c r="S715" s="3"/>
      <c r="T715" s="3"/>
      <c r="AI715" s="3"/>
      <c r="AJ715" s="3"/>
      <c r="AK715" s="3"/>
      <c r="AL715" s="3"/>
      <c r="AM715" s="3"/>
      <c r="AN715" s="3"/>
    </row>
    <row r="716" spans="3:40">
      <c r="C716" s="3"/>
      <c r="D716" s="3"/>
      <c r="E716" s="3"/>
      <c r="S716" s="3"/>
      <c r="T716" s="3"/>
      <c r="AI716" s="3"/>
      <c r="AJ716" s="3"/>
      <c r="AK716" s="3"/>
      <c r="AL716" s="3"/>
      <c r="AM716" s="3"/>
      <c r="AN716" s="3"/>
    </row>
    <row r="717" spans="3:40">
      <c r="C717" s="3"/>
      <c r="D717" s="3"/>
      <c r="E717" s="3"/>
      <c r="S717" s="3"/>
      <c r="T717" s="3"/>
      <c r="AI717" s="3"/>
      <c r="AJ717" s="3"/>
      <c r="AK717" s="3"/>
      <c r="AL717" s="3"/>
      <c r="AM717" s="3"/>
      <c r="AN717" s="3"/>
    </row>
    <row r="718" spans="3:40">
      <c r="C718" s="3"/>
      <c r="D718" s="3"/>
      <c r="E718" s="3"/>
      <c r="S718" s="3"/>
      <c r="T718" s="3"/>
      <c r="AI718" s="3"/>
      <c r="AJ718" s="3"/>
      <c r="AK718" s="3"/>
      <c r="AL718" s="3"/>
      <c r="AM718" s="3"/>
      <c r="AN718" s="3"/>
    </row>
    <row r="719" spans="3:40">
      <c r="C719" s="3"/>
      <c r="D719" s="3"/>
      <c r="E719" s="3"/>
      <c r="S719" s="3"/>
      <c r="T719" s="3"/>
      <c r="AI719" s="3"/>
      <c r="AJ719" s="3"/>
      <c r="AK719" s="3"/>
      <c r="AL719" s="3"/>
      <c r="AM719" s="3"/>
      <c r="AN719" s="3"/>
    </row>
    <row r="720" spans="3:40">
      <c r="C720" s="3"/>
      <c r="D720" s="3"/>
      <c r="E720" s="3"/>
      <c r="S720" s="3"/>
      <c r="T720" s="3"/>
      <c r="AI720" s="3"/>
      <c r="AJ720" s="3"/>
      <c r="AK720" s="3"/>
      <c r="AL720" s="3"/>
      <c r="AM720" s="3"/>
      <c r="AN720" s="3"/>
    </row>
    <row r="721" spans="3:40">
      <c r="C721" s="3"/>
      <c r="D721" s="3"/>
      <c r="E721" s="3"/>
      <c r="S721" s="3"/>
      <c r="T721" s="3"/>
      <c r="AI721" s="3"/>
      <c r="AJ721" s="3"/>
      <c r="AK721" s="3"/>
      <c r="AL721" s="3"/>
      <c r="AM721" s="3"/>
      <c r="AN721" s="3"/>
    </row>
    <row r="722" spans="3:40">
      <c r="C722" s="3"/>
      <c r="D722" s="3"/>
      <c r="E722" s="3"/>
      <c r="S722" s="3"/>
      <c r="T722" s="3"/>
      <c r="AI722" s="3"/>
      <c r="AJ722" s="3"/>
      <c r="AK722" s="3"/>
      <c r="AL722" s="3"/>
      <c r="AM722" s="3"/>
      <c r="AN722" s="3"/>
    </row>
    <row r="723" spans="3:40">
      <c r="C723" s="3"/>
      <c r="D723" s="3"/>
      <c r="E723" s="3"/>
      <c r="S723" s="3"/>
      <c r="T723" s="3"/>
      <c r="AI723" s="3"/>
      <c r="AJ723" s="3"/>
      <c r="AK723" s="3"/>
      <c r="AL723" s="3"/>
      <c r="AM723" s="3"/>
      <c r="AN723" s="3"/>
    </row>
    <row r="724" spans="3:40">
      <c r="C724" s="3"/>
      <c r="D724" s="3"/>
      <c r="E724" s="3"/>
      <c r="S724" s="3"/>
      <c r="T724" s="3"/>
      <c r="AI724" s="3"/>
      <c r="AJ724" s="3"/>
      <c r="AK724" s="3"/>
      <c r="AL724" s="3"/>
      <c r="AM724" s="3"/>
      <c r="AN724" s="3"/>
    </row>
    <row r="725" spans="3:40">
      <c r="C725" s="3"/>
      <c r="D725" s="3"/>
      <c r="E725" s="3"/>
      <c r="S725" s="3"/>
      <c r="T725" s="3"/>
      <c r="AI725" s="3"/>
      <c r="AJ725" s="3"/>
      <c r="AK725" s="3"/>
      <c r="AL725" s="3"/>
      <c r="AM725" s="3"/>
      <c r="AN725" s="3"/>
    </row>
    <row r="726" spans="3:40">
      <c r="C726" s="3"/>
      <c r="D726" s="3"/>
      <c r="E726" s="3"/>
      <c r="S726" s="3"/>
      <c r="T726" s="3"/>
      <c r="AI726" s="3"/>
      <c r="AJ726" s="3"/>
      <c r="AK726" s="3"/>
      <c r="AL726" s="3"/>
      <c r="AM726" s="3"/>
      <c r="AN726" s="3"/>
    </row>
    <row r="727" spans="3:40">
      <c r="C727" s="3"/>
      <c r="D727" s="3"/>
      <c r="E727" s="3"/>
      <c r="S727" s="3"/>
      <c r="T727" s="3"/>
      <c r="AI727" s="3"/>
      <c r="AJ727" s="3"/>
      <c r="AK727" s="3"/>
      <c r="AL727" s="3"/>
      <c r="AM727" s="3"/>
      <c r="AN727" s="3"/>
    </row>
    <row r="728" spans="3:40">
      <c r="C728" s="3"/>
      <c r="D728" s="3"/>
      <c r="E728" s="3"/>
      <c r="S728" s="3"/>
      <c r="T728" s="3"/>
      <c r="AI728" s="3"/>
      <c r="AJ728" s="3"/>
      <c r="AK728" s="3"/>
      <c r="AL728" s="3"/>
      <c r="AM728" s="3"/>
      <c r="AN728" s="3"/>
    </row>
    <row r="729" spans="3:40">
      <c r="C729" s="3"/>
      <c r="D729" s="3"/>
      <c r="E729" s="3"/>
      <c r="S729" s="3"/>
      <c r="T729" s="3"/>
      <c r="AI729" s="3"/>
      <c r="AJ729" s="3"/>
      <c r="AK729" s="3"/>
      <c r="AL729" s="3"/>
      <c r="AM729" s="3"/>
      <c r="AN729" s="3"/>
    </row>
    <row r="730" spans="3:40">
      <c r="C730" s="3"/>
      <c r="D730" s="3"/>
      <c r="E730" s="3"/>
      <c r="S730" s="3"/>
      <c r="T730" s="3"/>
      <c r="AI730" s="3"/>
      <c r="AJ730" s="3"/>
      <c r="AK730" s="3"/>
      <c r="AL730" s="3"/>
      <c r="AM730" s="3"/>
      <c r="AN730" s="3"/>
    </row>
    <row r="731" spans="3:40">
      <c r="C731" s="3"/>
      <c r="D731" s="3"/>
      <c r="E731" s="3"/>
      <c r="S731" s="3"/>
      <c r="T731" s="3"/>
      <c r="AI731" s="3"/>
      <c r="AJ731" s="3"/>
      <c r="AK731" s="3"/>
      <c r="AL731" s="3"/>
      <c r="AM731" s="3"/>
      <c r="AN731" s="3"/>
    </row>
    <row r="732" spans="3:40">
      <c r="C732" s="3"/>
      <c r="D732" s="3"/>
      <c r="E732" s="3"/>
      <c r="S732" s="3"/>
      <c r="T732" s="3"/>
      <c r="AI732" s="3"/>
      <c r="AJ732" s="3"/>
      <c r="AK732" s="3"/>
      <c r="AL732" s="3"/>
      <c r="AM732" s="3"/>
      <c r="AN732" s="3"/>
    </row>
    <row r="733" spans="3:40">
      <c r="C733" s="3"/>
      <c r="D733" s="3"/>
      <c r="E733" s="3"/>
      <c r="S733" s="3"/>
      <c r="T733" s="3"/>
      <c r="AI733" s="3"/>
      <c r="AJ733" s="3"/>
      <c r="AK733" s="3"/>
      <c r="AL733" s="3"/>
      <c r="AM733" s="3"/>
      <c r="AN733" s="3"/>
    </row>
    <row r="734" spans="3:40">
      <c r="C734" s="3"/>
      <c r="D734" s="3"/>
      <c r="E734" s="3"/>
      <c r="S734" s="3"/>
      <c r="T734" s="3"/>
      <c r="AI734" s="3"/>
      <c r="AJ734" s="3"/>
      <c r="AK734" s="3"/>
      <c r="AL734" s="3"/>
      <c r="AM734" s="3"/>
      <c r="AN734" s="3"/>
    </row>
    <row r="735" spans="3:40">
      <c r="C735" s="3"/>
      <c r="D735" s="3"/>
      <c r="E735" s="3"/>
      <c r="S735" s="3"/>
      <c r="T735" s="3"/>
      <c r="AI735" s="3"/>
      <c r="AJ735" s="3"/>
      <c r="AK735" s="3"/>
      <c r="AL735" s="3"/>
      <c r="AM735" s="3"/>
      <c r="AN735" s="3"/>
    </row>
    <row r="736" spans="3:40">
      <c r="C736" s="3"/>
      <c r="D736" s="3"/>
      <c r="E736" s="3"/>
      <c r="S736" s="3"/>
      <c r="T736" s="3"/>
      <c r="AI736" s="3"/>
      <c r="AJ736" s="3"/>
      <c r="AK736" s="3"/>
      <c r="AL736" s="3"/>
      <c r="AM736" s="3"/>
      <c r="AN736" s="3"/>
    </row>
    <row r="737" spans="3:40">
      <c r="C737" s="3"/>
      <c r="D737" s="3"/>
      <c r="E737" s="3"/>
      <c r="S737" s="3"/>
      <c r="T737" s="3"/>
      <c r="AI737" s="3"/>
      <c r="AJ737" s="3"/>
      <c r="AK737" s="3"/>
      <c r="AL737" s="3"/>
      <c r="AM737" s="3"/>
      <c r="AN737" s="3"/>
    </row>
    <row r="738" spans="3:40">
      <c r="C738" s="3"/>
      <c r="D738" s="3"/>
      <c r="E738" s="3"/>
      <c r="S738" s="3"/>
      <c r="T738" s="3"/>
      <c r="AI738" s="3"/>
      <c r="AJ738" s="3"/>
      <c r="AK738" s="3"/>
      <c r="AL738" s="3"/>
      <c r="AM738" s="3"/>
      <c r="AN738" s="3"/>
    </row>
    <row r="739" spans="3:40">
      <c r="C739" s="3"/>
      <c r="D739" s="3"/>
      <c r="E739" s="3"/>
      <c r="S739" s="3"/>
      <c r="T739" s="3"/>
      <c r="AI739" s="3"/>
      <c r="AJ739" s="3"/>
      <c r="AK739" s="3"/>
      <c r="AL739" s="3"/>
      <c r="AM739" s="3"/>
      <c r="AN739" s="3"/>
    </row>
    <row r="740" spans="3:40">
      <c r="C740" s="3"/>
      <c r="D740" s="3"/>
      <c r="E740" s="3"/>
      <c r="S740" s="3"/>
      <c r="T740" s="3"/>
      <c r="AI740" s="3"/>
      <c r="AJ740" s="3"/>
      <c r="AK740" s="3"/>
      <c r="AL740" s="3"/>
      <c r="AM740" s="3"/>
      <c r="AN740" s="3"/>
    </row>
    <row r="741" spans="3:40">
      <c r="C741" s="3"/>
      <c r="D741" s="3"/>
      <c r="E741" s="3"/>
      <c r="S741" s="3"/>
      <c r="T741" s="3"/>
      <c r="AI741" s="3"/>
      <c r="AJ741" s="3"/>
      <c r="AK741" s="3"/>
      <c r="AL741" s="3"/>
      <c r="AM741" s="3"/>
      <c r="AN741" s="3"/>
    </row>
    <row r="742" spans="3:40">
      <c r="C742" s="3"/>
      <c r="D742" s="3"/>
      <c r="E742" s="3"/>
      <c r="S742" s="3"/>
      <c r="T742" s="3"/>
      <c r="AI742" s="3"/>
      <c r="AJ742" s="3"/>
      <c r="AK742" s="3"/>
      <c r="AL742" s="3"/>
      <c r="AM742" s="3"/>
      <c r="AN742" s="3"/>
    </row>
    <row r="743" spans="3:40">
      <c r="C743" s="3"/>
      <c r="D743" s="3"/>
      <c r="E743" s="3"/>
      <c r="S743" s="3"/>
      <c r="T743" s="3"/>
      <c r="AI743" s="3"/>
      <c r="AJ743" s="3"/>
      <c r="AK743" s="3"/>
      <c r="AL743" s="3"/>
      <c r="AM743" s="3"/>
      <c r="AN743" s="3"/>
    </row>
    <row r="744" spans="3:40">
      <c r="C744" s="3"/>
      <c r="D744" s="3"/>
      <c r="E744" s="3"/>
      <c r="S744" s="3"/>
      <c r="T744" s="3"/>
      <c r="AI744" s="3"/>
      <c r="AJ744" s="3"/>
      <c r="AK744" s="3"/>
      <c r="AL744" s="3"/>
      <c r="AM744" s="3"/>
      <c r="AN744" s="3"/>
    </row>
    <row r="745" spans="3:40">
      <c r="C745" s="3"/>
      <c r="D745" s="3"/>
      <c r="E745" s="3"/>
      <c r="S745" s="3"/>
      <c r="T745" s="3"/>
      <c r="AI745" s="3"/>
      <c r="AJ745" s="3"/>
      <c r="AK745" s="3"/>
      <c r="AL745" s="3"/>
      <c r="AM745" s="3"/>
      <c r="AN745" s="3"/>
    </row>
    <row r="746" spans="3:40">
      <c r="C746" s="3"/>
      <c r="D746" s="3"/>
      <c r="E746" s="3"/>
      <c r="S746" s="3"/>
      <c r="T746" s="3"/>
      <c r="AI746" s="3"/>
      <c r="AJ746" s="3"/>
      <c r="AK746" s="3"/>
      <c r="AL746" s="3"/>
      <c r="AM746" s="3"/>
      <c r="AN746" s="3"/>
    </row>
    <row r="747" spans="3:40">
      <c r="C747" s="3"/>
      <c r="D747" s="3"/>
      <c r="E747" s="3"/>
      <c r="S747" s="3"/>
      <c r="T747" s="3"/>
      <c r="AI747" s="3"/>
      <c r="AJ747" s="3"/>
      <c r="AK747" s="3"/>
      <c r="AL747" s="3"/>
      <c r="AM747" s="3"/>
      <c r="AN747" s="3"/>
    </row>
    <row r="748" spans="3:40">
      <c r="C748" s="3"/>
      <c r="D748" s="3"/>
      <c r="E748" s="3"/>
      <c r="S748" s="3"/>
      <c r="T748" s="3"/>
      <c r="AI748" s="3"/>
      <c r="AJ748" s="3"/>
      <c r="AK748" s="3"/>
      <c r="AL748" s="3"/>
      <c r="AM748" s="3"/>
      <c r="AN748" s="3"/>
    </row>
    <row r="749" spans="3:40">
      <c r="C749" s="3"/>
      <c r="D749" s="3"/>
      <c r="E749" s="3"/>
      <c r="S749" s="3"/>
      <c r="T749" s="3"/>
      <c r="AI749" s="3"/>
      <c r="AJ749" s="3"/>
      <c r="AK749" s="3"/>
      <c r="AL749" s="3"/>
      <c r="AM749" s="3"/>
      <c r="AN749" s="3"/>
    </row>
    <row r="750" spans="3:40">
      <c r="C750" s="3"/>
      <c r="D750" s="3"/>
      <c r="E750" s="3"/>
      <c r="S750" s="3"/>
      <c r="T750" s="3"/>
      <c r="AI750" s="3"/>
      <c r="AJ750" s="3"/>
      <c r="AK750" s="3"/>
      <c r="AL750" s="3"/>
      <c r="AM750" s="3"/>
      <c r="AN750" s="3"/>
    </row>
    <row r="751" spans="3:40">
      <c r="C751" s="3"/>
      <c r="D751" s="3"/>
      <c r="E751" s="3"/>
      <c r="S751" s="3"/>
      <c r="T751" s="3"/>
      <c r="AI751" s="3"/>
      <c r="AJ751" s="3"/>
      <c r="AK751" s="3"/>
      <c r="AL751" s="3"/>
      <c r="AM751" s="3"/>
      <c r="AN751" s="3"/>
    </row>
    <row r="752" spans="3:40">
      <c r="C752" s="3"/>
      <c r="D752" s="3"/>
      <c r="E752" s="3"/>
      <c r="S752" s="3"/>
      <c r="T752" s="3"/>
      <c r="AI752" s="3"/>
      <c r="AJ752" s="3"/>
      <c r="AK752" s="3"/>
      <c r="AL752" s="3"/>
      <c r="AM752" s="3"/>
      <c r="AN752" s="3"/>
    </row>
    <row r="753" spans="3:40">
      <c r="C753" s="3"/>
      <c r="D753" s="3"/>
      <c r="E753" s="3"/>
      <c r="S753" s="3"/>
      <c r="T753" s="3"/>
      <c r="AI753" s="3"/>
      <c r="AJ753" s="3"/>
      <c r="AK753" s="3"/>
      <c r="AL753" s="3"/>
      <c r="AM753" s="3"/>
      <c r="AN753" s="3"/>
    </row>
    <row r="754" spans="3:40">
      <c r="C754" s="3"/>
      <c r="D754" s="3"/>
      <c r="E754" s="3"/>
      <c r="S754" s="3"/>
      <c r="T754" s="3"/>
      <c r="AI754" s="3"/>
      <c r="AJ754" s="3"/>
      <c r="AK754" s="3"/>
      <c r="AL754" s="3"/>
      <c r="AM754" s="3"/>
      <c r="AN754" s="3"/>
    </row>
    <row r="755" spans="3:40">
      <c r="C755" s="3"/>
      <c r="D755" s="3"/>
      <c r="E755" s="3"/>
      <c r="S755" s="3"/>
      <c r="T755" s="3"/>
      <c r="AI755" s="3"/>
      <c r="AJ755" s="3"/>
      <c r="AK755" s="3"/>
      <c r="AL755" s="3"/>
      <c r="AM755" s="3"/>
      <c r="AN755" s="3"/>
    </row>
    <row r="756" spans="3:40">
      <c r="C756" s="3"/>
      <c r="D756" s="3"/>
      <c r="E756" s="3"/>
      <c r="S756" s="3"/>
      <c r="T756" s="3"/>
      <c r="AI756" s="3"/>
      <c r="AJ756" s="3"/>
      <c r="AK756" s="3"/>
      <c r="AL756" s="3"/>
      <c r="AM756" s="3"/>
      <c r="AN756" s="3"/>
    </row>
    <row r="757" spans="3:40">
      <c r="C757" s="3"/>
      <c r="D757" s="3"/>
      <c r="E757" s="3"/>
      <c r="S757" s="3"/>
      <c r="T757" s="3"/>
      <c r="AI757" s="3"/>
      <c r="AJ757" s="3"/>
      <c r="AK757" s="3"/>
      <c r="AL757" s="3"/>
      <c r="AM757" s="3"/>
      <c r="AN757" s="3"/>
    </row>
    <row r="758" spans="3:40">
      <c r="C758" s="3"/>
      <c r="D758" s="3"/>
      <c r="E758" s="3"/>
      <c r="S758" s="3"/>
      <c r="T758" s="3"/>
      <c r="AI758" s="3"/>
      <c r="AJ758" s="3"/>
      <c r="AK758" s="3"/>
      <c r="AL758" s="3"/>
      <c r="AM758" s="3"/>
      <c r="AN758" s="3"/>
    </row>
    <row r="759" spans="3:40">
      <c r="C759" s="3"/>
      <c r="D759" s="3"/>
      <c r="E759" s="3"/>
      <c r="S759" s="3"/>
      <c r="T759" s="3"/>
      <c r="AI759" s="3"/>
      <c r="AJ759" s="3"/>
      <c r="AK759" s="3"/>
      <c r="AL759" s="3"/>
      <c r="AM759" s="3"/>
      <c r="AN759" s="3"/>
    </row>
    <row r="760" spans="3:40">
      <c r="C760" s="3"/>
      <c r="D760" s="3"/>
      <c r="E760" s="3"/>
      <c r="S760" s="3"/>
      <c r="T760" s="3"/>
      <c r="AI760" s="3"/>
      <c r="AJ760" s="3"/>
      <c r="AK760" s="3"/>
      <c r="AL760" s="3"/>
      <c r="AM760" s="3"/>
      <c r="AN760" s="3"/>
    </row>
    <row r="761" spans="3:40">
      <c r="C761" s="3"/>
      <c r="D761" s="3"/>
      <c r="E761" s="3"/>
      <c r="S761" s="3"/>
      <c r="T761" s="3"/>
      <c r="AI761" s="3"/>
      <c r="AJ761" s="3"/>
      <c r="AK761" s="3"/>
      <c r="AL761" s="3"/>
      <c r="AM761" s="3"/>
      <c r="AN761" s="3"/>
    </row>
    <row r="762" spans="3:40">
      <c r="C762" s="3"/>
      <c r="D762" s="3"/>
      <c r="E762" s="3"/>
      <c r="S762" s="3"/>
      <c r="T762" s="3"/>
      <c r="AI762" s="3"/>
      <c r="AJ762" s="3"/>
      <c r="AK762" s="3"/>
      <c r="AL762" s="3"/>
      <c r="AM762" s="3"/>
      <c r="AN762" s="3"/>
    </row>
    <row r="763" spans="3:40">
      <c r="C763" s="3"/>
      <c r="D763" s="3"/>
      <c r="E763" s="3"/>
      <c r="S763" s="3"/>
      <c r="T763" s="3"/>
      <c r="AI763" s="3"/>
      <c r="AJ763" s="3"/>
      <c r="AK763" s="3"/>
      <c r="AL763" s="3"/>
      <c r="AM763" s="3"/>
      <c r="AN763" s="3"/>
    </row>
    <row r="764" spans="3:40">
      <c r="C764" s="3"/>
      <c r="D764" s="3"/>
      <c r="E764" s="3"/>
      <c r="S764" s="3"/>
      <c r="T764" s="3"/>
      <c r="AI764" s="3"/>
      <c r="AJ764" s="3"/>
      <c r="AK764" s="3"/>
      <c r="AL764" s="3"/>
      <c r="AM764" s="3"/>
      <c r="AN764" s="3"/>
    </row>
    <row r="765" spans="3:40">
      <c r="C765" s="3"/>
      <c r="D765" s="3"/>
      <c r="E765" s="3"/>
      <c r="S765" s="3"/>
      <c r="T765" s="3"/>
      <c r="AI765" s="3"/>
      <c r="AJ765" s="3"/>
      <c r="AK765" s="3"/>
      <c r="AL765" s="3"/>
      <c r="AM765" s="3"/>
      <c r="AN765" s="3"/>
    </row>
    <row r="766" spans="3:40">
      <c r="C766" s="3"/>
      <c r="D766" s="3"/>
      <c r="E766" s="3"/>
      <c r="S766" s="3"/>
      <c r="T766" s="3"/>
      <c r="AI766" s="3"/>
      <c r="AJ766" s="3"/>
      <c r="AK766" s="3"/>
      <c r="AL766" s="3"/>
      <c r="AM766" s="3"/>
      <c r="AN766" s="3"/>
    </row>
    <row r="767" spans="3:40">
      <c r="C767" s="3"/>
      <c r="D767" s="3"/>
      <c r="E767" s="3"/>
      <c r="S767" s="3"/>
      <c r="T767" s="3"/>
      <c r="AI767" s="3"/>
      <c r="AJ767" s="3"/>
      <c r="AK767" s="3"/>
      <c r="AL767" s="3"/>
      <c r="AM767" s="3"/>
      <c r="AN767" s="3"/>
    </row>
    <row r="768" spans="3:40">
      <c r="C768" s="3"/>
      <c r="D768" s="3"/>
      <c r="E768" s="3"/>
      <c r="S768" s="3"/>
      <c r="T768" s="3"/>
      <c r="AI768" s="3"/>
      <c r="AJ768" s="3"/>
      <c r="AK768" s="3"/>
      <c r="AL768" s="3"/>
      <c r="AM768" s="3"/>
      <c r="AN768" s="3"/>
    </row>
    <row r="769" spans="3:40">
      <c r="C769" s="3"/>
      <c r="D769" s="3"/>
      <c r="E769" s="3"/>
      <c r="S769" s="3"/>
      <c r="T769" s="3"/>
      <c r="AI769" s="3"/>
      <c r="AJ769" s="3"/>
      <c r="AK769" s="3"/>
      <c r="AL769" s="3"/>
      <c r="AM769" s="3"/>
      <c r="AN769" s="3"/>
    </row>
    <row r="770" spans="3:40">
      <c r="C770" s="3"/>
      <c r="D770" s="3"/>
      <c r="E770" s="3"/>
      <c r="S770" s="3"/>
      <c r="T770" s="3"/>
      <c r="AI770" s="3"/>
      <c r="AJ770" s="3"/>
      <c r="AK770" s="3"/>
      <c r="AL770" s="3"/>
      <c r="AM770" s="3"/>
      <c r="AN770" s="3"/>
    </row>
    <row r="771" spans="3:40">
      <c r="C771" s="3"/>
      <c r="D771" s="3"/>
      <c r="E771" s="3"/>
      <c r="S771" s="3"/>
      <c r="T771" s="3"/>
      <c r="AI771" s="3"/>
      <c r="AJ771" s="3"/>
      <c r="AK771" s="3"/>
      <c r="AL771" s="3"/>
      <c r="AM771" s="3"/>
      <c r="AN771" s="3"/>
    </row>
    <row r="772" spans="3:40">
      <c r="C772" s="3"/>
      <c r="D772" s="3"/>
      <c r="E772" s="3"/>
      <c r="S772" s="3"/>
      <c r="T772" s="3"/>
      <c r="AI772" s="3"/>
      <c r="AJ772" s="3"/>
      <c r="AK772" s="3"/>
      <c r="AL772" s="3"/>
      <c r="AM772" s="3"/>
      <c r="AN772" s="3"/>
    </row>
    <row r="773" spans="3:40">
      <c r="C773" s="3"/>
      <c r="D773" s="3"/>
      <c r="E773" s="3"/>
      <c r="S773" s="3"/>
      <c r="T773" s="3"/>
      <c r="AI773" s="3"/>
      <c r="AJ773" s="3"/>
      <c r="AK773" s="3"/>
      <c r="AL773" s="3"/>
      <c r="AM773" s="3"/>
      <c r="AN773" s="3"/>
    </row>
    <row r="774" spans="3:40">
      <c r="C774" s="3"/>
      <c r="D774" s="3"/>
      <c r="E774" s="3"/>
      <c r="S774" s="3"/>
      <c r="T774" s="3"/>
      <c r="AI774" s="3"/>
      <c r="AJ774" s="3"/>
      <c r="AK774" s="3"/>
      <c r="AL774" s="3"/>
      <c r="AM774" s="3"/>
      <c r="AN774" s="3"/>
    </row>
    <row r="775" spans="3:40">
      <c r="C775" s="3"/>
      <c r="D775" s="3"/>
      <c r="E775" s="3"/>
      <c r="S775" s="3"/>
      <c r="T775" s="3"/>
      <c r="AI775" s="3"/>
      <c r="AJ775" s="3"/>
      <c r="AK775" s="3"/>
      <c r="AL775" s="3"/>
      <c r="AM775" s="3"/>
      <c r="AN775" s="3"/>
    </row>
    <row r="776" spans="3:40">
      <c r="C776" s="3"/>
      <c r="D776" s="3"/>
      <c r="E776" s="3"/>
      <c r="S776" s="3"/>
      <c r="T776" s="3"/>
      <c r="AI776" s="3"/>
      <c r="AJ776" s="3"/>
      <c r="AK776" s="3"/>
      <c r="AL776" s="3"/>
      <c r="AM776" s="3"/>
      <c r="AN776" s="3"/>
    </row>
    <row r="777" spans="3:40">
      <c r="C777" s="3"/>
      <c r="D777" s="3"/>
      <c r="E777" s="3"/>
      <c r="S777" s="3"/>
      <c r="T777" s="3"/>
      <c r="AI777" s="3"/>
      <c r="AJ777" s="3"/>
      <c r="AK777" s="3"/>
      <c r="AL777" s="3"/>
      <c r="AM777" s="3"/>
      <c r="AN777" s="3"/>
    </row>
    <row r="778" spans="3:40">
      <c r="C778" s="3"/>
      <c r="D778" s="3"/>
      <c r="E778" s="3"/>
      <c r="S778" s="3"/>
      <c r="T778" s="3"/>
      <c r="AI778" s="3"/>
      <c r="AJ778" s="3"/>
      <c r="AK778" s="3"/>
      <c r="AL778" s="3"/>
      <c r="AM778" s="3"/>
      <c r="AN778" s="3"/>
    </row>
    <row r="779" spans="3:40">
      <c r="C779" s="3"/>
      <c r="D779" s="3"/>
      <c r="E779" s="3"/>
      <c r="S779" s="3"/>
      <c r="T779" s="3"/>
      <c r="AI779" s="3"/>
      <c r="AJ779" s="3"/>
      <c r="AK779" s="3"/>
      <c r="AL779" s="3"/>
      <c r="AM779" s="3"/>
      <c r="AN779" s="3"/>
    </row>
    <row r="780" spans="3:40">
      <c r="C780" s="3"/>
      <c r="D780" s="3"/>
      <c r="E780" s="3"/>
      <c r="S780" s="3"/>
      <c r="T780" s="3"/>
      <c r="AI780" s="3"/>
      <c r="AJ780" s="3"/>
      <c r="AK780" s="3"/>
      <c r="AL780" s="3"/>
      <c r="AM780" s="3"/>
      <c r="AN780" s="3"/>
    </row>
    <row r="781" spans="3:40">
      <c r="C781" s="3"/>
      <c r="D781" s="3"/>
      <c r="E781" s="3"/>
      <c r="S781" s="3"/>
      <c r="T781" s="3"/>
      <c r="AI781" s="3"/>
      <c r="AJ781" s="3"/>
      <c r="AK781" s="3"/>
      <c r="AL781" s="3"/>
      <c r="AM781" s="3"/>
      <c r="AN781" s="3"/>
    </row>
    <row r="782" spans="3:40">
      <c r="C782" s="3"/>
      <c r="D782" s="3"/>
      <c r="E782" s="3"/>
      <c r="S782" s="3"/>
      <c r="T782" s="3"/>
      <c r="AI782" s="3"/>
      <c r="AJ782" s="3"/>
      <c r="AK782" s="3"/>
      <c r="AL782" s="3"/>
      <c r="AM782" s="3"/>
      <c r="AN782" s="3"/>
    </row>
    <row r="783" spans="3:40">
      <c r="C783" s="3"/>
      <c r="D783" s="3"/>
      <c r="E783" s="3"/>
      <c r="S783" s="3"/>
      <c r="T783" s="3"/>
      <c r="AI783" s="3"/>
      <c r="AJ783" s="3"/>
      <c r="AK783" s="3"/>
      <c r="AL783" s="3"/>
      <c r="AM783" s="3"/>
      <c r="AN783" s="3"/>
    </row>
    <row r="784" spans="3:40">
      <c r="C784" s="3"/>
      <c r="D784" s="3"/>
      <c r="E784" s="3"/>
      <c r="S784" s="3"/>
      <c r="T784" s="3"/>
      <c r="AI784" s="3"/>
      <c r="AJ784" s="3"/>
      <c r="AK784" s="3"/>
      <c r="AL784" s="3"/>
      <c r="AM784" s="3"/>
      <c r="AN784" s="3"/>
    </row>
    <row r="785" spans="3:40">
      <c r="C785" s="3"/>
      <c r="D785" s="3"/>
      <c r="E785" s="3"/>
      <c r="S785" s="3"/>
      <c r="T785" s="3"/>
      <c r="AI785" s="3"/>
      <c r="AJ785" s="3"/>
      <c r="AK785" s="3"/>
      <c r="AL785" s="3"/>
      <c r="AM785" s="3"/>
      <c r="AN785" s="3"/>
    </row>
    <row r="786" spans="3:40">
      <c r="C786" s="3"/>
      <c r="D786" s="3"/>
      <c r="E786" s="3"/>
      <c r="S786" s="3"/>
      <c r="T786" s="3"/>
      <c r="AI786" s="3"/>
      <c r="AJ786" s="3"/>
      <c r="AK786" s="3"/>
      <c r="AL786" s="3"/>
      <c r="AM786" s="3"/>
      <c r="AN786" s="3"/>
    </row>
    <row r="787" spans="3:40">
      <c r="C787" s="3"/>
      <c r="D787" s="3"/>
      <c r="E787" s="3"/>
      <c r="S787" s="3"/>
      <c r="T787" s="3"/>
      <c r="AI787" s="3"/>
      <c r="AJ787" s="3"/>
      <c r="AK787" s="3"/>
      <c r="AL787" s="3"/>
      <c r="AM787" s="3"/>
      <c r="AN787" s="3"/>
    </row>
    <row r="788" spans="3:40">
      <c r="C788" s="3"/>
      <c r="D788" s="3"/>
      <c r="E788" s="3"/>
      <c r="S788" s="3"/>
      <c r="T788" s="3"/>
      <c r="AI788" s="3"/>
      <c r="AJ788" s="3"/>
      <c r="AK788" s="3"/>
      <c r="AL788" s="3"/>
      <c r="AM788" s="3"/>
      <c r="AN788" s="3"/>
    </row>
    <row r="789" spans="3:40">
      <c r="C789" s="3"/>
      <c r="D789" s="3"/>
      <c r="E789" s="3"/>
      <c r="S789" s="3"/>
      <c r="T789" s="3"/>
      <c r="AI789" s="3"/>
      <c r="AJ789" s="3"/>
      <c r="AK789" s="3"/>
      <c r="AL789" s="3"/>
      <c r="AM789" s="3"/>
      <c r="AN789" s="3"/>
    </row>
    <row r="790" spans="3:40">
      <c r="C790" s="3"/>
      <c r="D790" s="3"/>
      <c r="E790" s="3"/>
      <c r="S790" s="3"/>
      <c r="T790" s="3"/>
      <c r="AI790" s="3"/>
      <c r="AJ790" s="3"/>
      <c r="AK790" s="3"/>
      <c r="AL790" s="3"/>
      <c r="AM790" s="3"/>
      <c r="AN790" s="3"/>
    </row>
    <row r="791" spans="3:40">
      <c r="C791" s="3"/>
      <c r="D791" s="3"/>
      <c r="E791" s="3"/>
      <c r="S791" s="3"/>
      <c r="T791" s="3"/>
      <c r="AI791" s="3"/>
      <c r="AJ791" s="3"/>
      <c r="AK791" s="3"/>
      <c r="AL791" s="3"/>
      <c r="AM791" s="3"/>
      <c r="AN791" s="3"/>
    </row>
    <row r="792" spans="3:40">
      <c r="C792" s="3"/>
      <c r="D792" s="3"/>
      <c r="E792" s="3"/>
      <c r="S792" s="3"/>
      <c r="T792" s="3"/>
      <c r="AI792" s="3"/>
      <c r="AJ792" s="3"/>
      <c r="AK792" s="3"/>
      <c r="AL792" s="3"/>
      <c r="AM792" s="3"/>
      <c r="AN792" s="3"/>
    </row>
    <row r="793" spans="3:40">
      <c r="C793" s="3"/>
      <c r="D793" s="3"/>
      <c r="E793" s="3"/>
      <c r="S793" s="3"/>
      <c r="T793" s="3"/>
      <c r="AI793" s="3"/>
      <c r="AJ793" s="3"/>
      <c r="AK793" s="3"/>
      <c r="AL793" s="3"/>
      <c r="AM793" s="3"/>
      <c r="AN793" s="3"/>
    </row>
    <row r="794" spans="3:40">
      <c r="C794" s="3"/>
      <c r="D794" s="3"/>
      <c r="E794" s="3"/>
      <c r="S794" s="3"/>
      <c r="T794" s="3"/>
      <c r="AI794" s="3"/>
      <c r="AJ794" s="3"/>
      <c r="AK794" s="3"/>
      <c r="AL794" s="3"/>
      <c r="AM794" s="3"/>
      <c r="AN794" s="3"/>
    </row>
    <row r="795" spans="3:40">
      <c r="C795" s="3"/>
      <c r="D795" s="3"/>
      <c r="E795" s="3"/>
      <c r="S795" s="3"/>
      <c r="T795" s="3"/>
      <c r="AI795" s="3"/>
      <c r="AJ795" s="3"/>
      <c r="AK795" s="3"/>
      <c r="AL795" s="3"/>
      <c r="AM795" s="3"/>
      <c r="AN795" s="3"/>
    </row>
    <row r="796" spans="3:40">
      <c r="C796" s="3"/>
      <c r="D796" s="3"/>
      <c r="E796" s="3"/>
      <c r="S796" s="3"/>
      <c r="T796" s="3"/>
      <c r="AI796" s="3"/>
      <c r="AJ796" s="3"/>
      <c r="AK796" s="3"/>
      <c r="AL796" s="3"/>
      <c r="AM796" s="3"/>
      <c r="AN796" s="3"/>
    </row>
    <row r="797" spans="3:40">
      <c r="C797" s="3"/>
      <c r="D797" s="3"/>
      <c r="E797" s="3"/>
      <c r="S797" s="3"/>
      <c r="T797" s="3"/>
      <c r="AI797" s="3"/>
      <c r="AJ797" s="3"/>
      <c r="AK797" s="3"/>
      <c r="AL797" s="3"/>
      <c r="AM797" s="3"/>
      <c r="AN797" s="3"/>
    </row>
    <row r="798" spans="3:40">
      <c r="C798" s="3"/>
      <c r="D798" s="3"/>
      <c r="E798" s="3"/>
      <c r="S798" s="3"/>
      <c r="T798" s="3"/>
      <c r="AI798" s="3"/>
      <c r="AJ798" s="3"/>
      <c r="AK798" s="3"/>
      <c r="AL798" s="3"/>
      <c r="AM798" s="3"/>
      <c r="AN798" s="3"/>
    </row>
    <row r="799" spans="3:40">
      <c r="C799" s="3"/>
      <c r="D799" s="3"/>
      <c r="E799" s="3"/>
      <c r="S799" s="3"/>
      <c r="T799" s="3"/>
      <c r="AI799" s="3"/>
      <c r="AJ799" s="3"/>
      <c r="AK799" s="3"/>
      <c r="AL799" s="3"/>
      <c r="AM799" s="3"/>
      <c r="AN799" s="3"/>
    </row>
    <row r="800" spans="3:40">
      <c r="C800" s="3"/>
      <c r="D800" s="3"/>
      <c r="E800" s="3"/>
      <c r="S800" s="3"/>
      <c r="T800" s="3"/>
      <c r="AI800" s="3"/>
      <c r="AJ800" s="3"/>
      <c r="AK800" s="3"/>
      <c r="AL800" s="3"/>
      <c r="AM800" s="3"/>
      <c r="AN800" s="3"/>
    </row>
    <row r="801" spans="3:40">
      <c r="C801" s="3"/>
      <c r="D801" s="3"/>
      <c r="E801" s="3"/>
      <c r="S801" s="3"/>
      <c r="T801" s="3"/>
      <c r="AI801" s="3"/>
      <c r="AJ801" s="3"/>
      <c r="AK801" s="3"/>
      <c r="AL801" s="3"/>
      <c r="AM801" s="3"/>
      <c r="AN801" s="3"/>
    </row>
    <row r="802" spans="3:40">
      <c r="C802" s="3"/>
      <c r="D802" s="3"/>
      <c r="E802" s="3"/>
      <c r="S802" s="3"/>
      <c r="T802" s="3"/>
      <c r="AI802" s="3"/>
      <c r="AJ802" s="3"/>
      <c r="AK802" s="3"/>
      <c r="AL802" s="3"/>
      <c r="AM802" s="3"/>
      <c r="AN802" s="3"/>
    </row>
    <row r="803" spans="3:40">
      <c r="C803" s="3"/>
      <c r="D803" s="3"/>
      <c r="E803" s="3"/>
      <c r="S803" s="3"/>
      <c r="T803" s="3"/>
      <c r="AI803" s="3"/>
      <c r="AJ803" s="3"/>
      <c r="AK803" s="3"/>
      <c r="AL803" s="3"/>
      <c r="AM803" s="3"/>
      <c r="AN803" s="3"/>
    </row>
    <row r="804" spans="3:40">
      <c r="C804" s="3"/>
      <c r="D804" s="3"/>
      <c r="E804" s="3"/>
      <c r="S804" s="3"/>
      <c r="T804" s="3"/>
      <c r="AI804" s="3"/>
      <c r="AJ804" s="3"/>
      <c r="AK804" s="3"/>
      <c r="AL804" s="3"/>
      <c r="AM804" s="3"/>
      <c r="AN804" s="3"/>
    </row>
    <row r="805" spans="3:40">
      <c r="C805" s="3"/>
      <c r="D805" s="3"/>
      <c r="E805" s="3"/>
      <c r="S805" s="3"/>
      <c r="T805" s="3"/>
      <c r="AI805" s="3"/>
      <c r="AJ805" s="3"/>
      <c r="AK805" s="3"/>
      <c r="AL805" s="3"/>
      <c r="AM805" s="3"/>
      <c r="AN805" s="3"/>
    </row>
    <row r="806" spans="3:40">
      <c r="C806" s="3"/>
      <c r="D806" s="3"/>
      <c r="E806" s="3"/>
      <c r="S806" s="3"/>
      <c r="T806" s="3"/>
      <c r="AI806" s="3"/>
      <c r="AJ806" s="3"/>
      <c r="AK806" s="3"/>
      <c r="AL806" s="3"/>
      <c r="AM806" s="3"/>
      <c r="AN806" s="3"/>
    </row>
    <row r="807" spans="3:40">
      <c r="C807" s="3"/>
      <c r="D807" s="3"/>
      <c r="E807" s="3"/>
      <c r="S807" s="3"/>
      <c r="T807" s="3"/>
      <c r="AI807" s="3"/>
      <c r="AJ807" s="3"/>
      <c r="AK807" s="3"/>
      <c r="AL807" s="3"/>
      <c r="AM807" s="3"/>
      <c r="AN807" s="3"/>
    </row>
    <row r="808" spans="3:40">
      <c r="C808" s="3"/>
      <c r="D808" s="3"/>
      <c r="E808" s="3"/>
      <c r="S808" s="3"/>
      <c r="T808" s="3"/>
      <c r="AI808" s="3"/>
      <c r="AJ808" s="3"/>
      <c r="AK808" s="3"/>
      <c r="AL808" s="3"/>
      <c r="AM808" s="3"/>
      <c r="AN808" s="3"/>
    </row>
    <row r="809" spans="3:40">
      <c r="C809" s="3"/>
      <c r="D809" s="3"/>
      <c r="E809" s="3"/>
      <c r="S809" s="3"/>
      <c r="T809" s="3"/>
      <c r="AI809" s="3"/>
      <c r="AJ809" s="3"/>
      <c r="AK809" s="3"/>
      <c r="AL809" s="3"/>
      <c r="AM809" s="3"/>
      <c r="AN809" s="3"/>
    </row>
    <row r="810" spans="3:40">
      <c r="C810" s="3"/>
      <c r="D810" s="3"/>
      <c r="E810" s="3"/>
      <c r="S810" s="3"/>
      <c r="T810" s="3"/>
      <c r="AI810" s="3"/>
      <c r="AJ810" s="3"/>
      <c r="AK810" s="3"/>
      <c r="AL810" s="3"/>
      <c r="AM810" s="3"/>
      <c r="AN810" s="3"/>
    </row>
    <row r="811" spans="3:40">
      <c r="C811" s="3"/>
      <c r="D811" s="3"/>
      <c r="E811" s="3"/>
      <c r="S811" s="3"/>
      <c r="T811" s="3"/>
      <c r="AI811" s="3"/>
      <c r="AJ811" s="3"/>
      <c r="AK811" s="3"/>
      <c r="AL811" s="3"/>
      <c r="AM811" s="3"/>
      <c r="AN811" s="3"/>
    </row>
    <row r="812" spans="3:40">
      <c r="C812" s="3"/>
      <c r="D812" s="3"/>
      <c r="E812" s="3"/>
      <c r="S812" s="3"/>
      <c r="T812" s="3"/>
      <c r="AI812" s="3"/>
      <c r="AJ812" s="3"/>
      <c r="AK812" s="3"/>
      <c r="AL812" s="3"/>
      <c r="AM812" s="3"/>
      <c r="AN812" s="3"/>
    </row>
    <row r="813" spans="3:40">
      <c r="C813" s="3"/>
      <c r="D813" s="3"/>
      <c r="E813" s="3"/>
      <c r="S813" s="3"/>
      <c r="T813" s="3"/>
      <c r="AI813" s="3"/>
      <c r="AJ813" s="3"/>
      <c r="AK813" s="3"/>
      <c r="AL813" s="3"/>
      <c r="AM813" s="3"/>
      <c r="AN813" s="3"/>
    </row>
    <row r="814" spans="3:40">
      <c r="C814" s="3"/>
      <c r="D814" s="3"/>
      <c r="E814" s="3"/>
      <c r="S814" s="3"/>
      <c r="T814" s="3"/>
      <c r="AI814" s="3"/>
      <c r="AJ814" s="3"/>
      <c r="AK814" s="3"/>
      <c r="AL814" s="3"/>
      <c r="AM814" s="3"/>
      <c r="AN814" s="3"/>
    </row>
    <row r="815" spans="3:40">
      <c r="C815" s="3"/>
      <c r="D815" s="3"/>
      <c r="E815" s="3"/>
      <c r="S815" s="3"/>
      <c r="T815" s="3"/>
      <c r="AI815" s="3"/>
      <c r="AJ815" s="3"/>
      <c r="AK815" s="3"/>
      <c r="AL815" s="3"/>
      <c r="AM815" s="3"/>
      <c r="AN815" s="3"/>
    </row>
    <row r="816" spans="3:40">
      <c r="C816" s="3"/>
      <c r="D816" s="3"/>
      <c r="E816" s="3"/>
      <c r="S816" s="3"/>
      <c r="T816" s="3"/>
      <c r="AI816" s="3"/>
      <c r="AJ816" s="3"/>
      <c r="AK816" s="3"/>
      <c r="AL816" s="3"/>
      <c r="AM816" s="3"/>
      <c r="AN816" s="3"/>
    </row>
    <row r="817" spans="3:40">
      <c r="C817" s="3"/>
      <c r="D817" s="3"/>
      <c r="E817" s="3"/>
      <c r="S817" s="3"/>
      <c r="T817" s="3"/>
      <c r="AI817" s="3"/>
      <c r="AJ817" s="3"/>
      <c r="AK817" s="3"/>
      <c r="AL817" s="3"/>
      <c r="AM817" s="3"/>
      <c r="AN817" s="3"/>
    </row>
    <row r="818" spans="3:40">
      <c r="C818" s="3"/>
      <c r="D818" s="3"/>
      <c r="E818" s="3"/>
      <c r="S818" s="3"/>
      <c r="T818" s="3"/>
      <c r="AI818" s="3"/>
      <c r="AJ818" s="3"/>
      <c r="AK818" s="3"/>
      <c r="AL818" s="3"/>
      <c r="AM818" s="3"/>
      <c r="AN818" s="3"/>
    </row>
    <row r="819" spans="3:40">
      <c r="C819" s="3"/>
      <c r="D819" s="3"/>
      <c r="E819" s="3"/>
      <c r="S819" s="3"/>
      <c r="T819" s="3"/>
      <c r="AI819" s="3"/>
      <c r="AJ819" s="3"/>
      <c r="AK819" s="3"/>
      <c r="AL819" s="3"/>
      <c r="AM819" s="3"/>
      <c r="AN819" s="3"/>
    </row>
    <row r="820" spans="3:40">
      <c r="C820" s="3"/>
      <c r="D820" s="3"/>
      <c r="E820" s="3"/>
      <c r="S820" s="3"/>
      <c r="T820" s="3"/>
      <c r="AI820" s="3"/>
      <c r="AJ820" s="3"/>
      <c r="AK820" s="3"/>
      <c r="AL820" s="3"/>
      <c r="AM820" s="3"/>
      <c r="AN820" s="3"/>
    </row>
    <row r="821" spans="3:40">
      <c r="C821" s="3"/>
      <c r="D821" s="3"/>
      <c r="E821" s="3"/>
      <c r="S821" s="3"/>
      <c r="T821" s="3"/>
      <c r="AI821" s="3"/>
      <c r="AJ821" s="3"/>
      <c r="AK821" s="3"/>
      <c r="AL821" s="3"/>
      <c r="AM821" s="3"/>
      <c r="AN821" s="3"/>
    </row>
    <row r="822" spans="3:40">
      <c r="C822" s="3"/>
      <c r="D822" s="3"/>
      <c r="E822" s="3"/>
      <c r="S822" s="3"/>
      <c r="T822" s="3"/>
      <c r="AI822" s="3"/>
      <c r="AJ822" s="3"/>
      <c r="AK822" s="3"/>
      <c r="AL822" s="3"/>
      <c r="AM822" s="3"/>
      <c r="AN822" s="3"/>
    </row>
    <row r="823" spans="3:40">
      <c r="C823" s="3"/>
      <c r="D823" s="3"/>
      <c r="E823" s="3"/>
      <c r="S823" s="3"/>
      <c r="T823" s="3"/>
      <c r="AI823" s="3"/>
      <c r="AJ823" s="3"/>
      <c r="AK823" s="3"/>
      <c r="AL823" s="3"/>
      <c r="AM823" s="3"/>
      <c r="AN823" s="3"/>
    </row>
    <row r="824" spans="3:40">
      <c r="C824" s="3"/>
      <c r="D824" s="3"/>
      <c r="E824" s="3"/>
      <c r="S824" s="3"/>
      <c r="T824" s="3"/>
      <c r="AI824" s="3"/>
      <c r="AJ824" s="3"/>
      <c r="AK824" s="3"/>
      <c r="AL824" s="3"/>
      <c r="AM824" s="3"/>
      <c r="AN824" s="3"/>
    </row>
    <row r="825" spans="3:40">
      <c r="C825" s="3"/>
      <c r="D825" s="3"/>
      <c r="E825" s="3"/>
      <c r="S825" s="3"/>
      <c r="T825" s="3"/>
      <c r="AI825" s="3"/>
      <c r="AJ825" s="3"/>
      <c r="AK825" s="3"/>
      <c r="AL825" s="3"/>
      <c r="AM825" s="3"/>
      <c r="AN825" s="3"/>
    </row>
    <row r="826" spans="3:40">
      <c r="C826" s="3"/>
      <c r="D826" s="3"/>
      <c r="E826" s="3"/>
      <c r="S826" s="3"/>
      <c r="T826" s="3"/>
      <c r="AI826" s="3"/>
      <c r="AJ826" s="3"/>
      <c r="AK826" s="3"/>
      <c r="AL826" s="3"/>
      <c r="AM826" s="3"/>
      <c r="AN826" s="3"/>
    </row>
    <row r="827" spans="3:40">
      <c r="C827" s="3"/>
      <c r="D827" s="3"/>
      <c r="E827" s="3"/>
      <c r="S827" s="3"/>
      <c r="T827" s="3"/>
      <c r="AI827" s="3"/>
      <c r="AJ827" s="3"/>
      <c r="AK827" s="3"/>
      <c r="AL827" s="3"/>
      <c r="AM827" s="3"/>
      <c r="AN827" s="3"/>
    </row>
    <row r="828" spans="3:40">
      <c r="C828" s="3"/>
      <c r="D828" s="3"/>
      <c r="E828" s="3"/>
      <c r="S828" s="3"/>
      <c r="T828" s="3"/>
      <c r="AI828" s="3"/>
      <c r="AJ828" s="3"/>
      <c r="AK828" s="3"/>
      <c r="AL828" s="3"/>
      <c r="AM828" s="3"/>
      <c r="AN828" s="3"/>
    </row>
    <row r="829" spans="3:40">
      <c r="C829" s="3"/>
      <c r="D829" s="3"/>
      <c r="E829" s="3"/>
      <c r="S829" s="3"/>
      <c r="T829" s="3"/>
      <c r="AI829" s="3"/>
      <c r="AJ829" s="3"/>
      <c r="AK829" s="3"/>
      <c r="AL829" s="3"/>
      <c r="AM829" s="3"/>
      <c r="AN829" s="3"/>
    </row>
    <row r="830" spans="3:40">
      <c r="C830" s="3"/>
      <c r="D830" s="3"/>
      <c r="E830" s="3"/>
      <c r="S830" s="3"/>
      <c r="T830" s="3"/>
      <c r="AI830" s="3"/>
      <c r="AJ830" s="3"/>
      <c r="AK830" s="3"/>
      <c r="AL830" s="3"/>
      <c r="AM830" s="3"/>
      <c r="AN830" s="3"/>
    </row>
    <row r="831" spans="3:40">
      <c r="C831" s="3"/>
      <c r="D831" s="3"/>
      <c r="E831" s="3"/>
      <c r="S831" s="3"/>
      <c r="T831" s="3"/>
      <c r="AI831" s="3"/>
      <c r="AJ831" s="3"/>
      <c r="AK831" s="3"/>
      <c r="AL831" s="3"/>
      <c r="AM831" s="3"/>
      <c r="AN831" s="3"/>
    </row>
    <row r="832" spans="3:40">
      <c r="C832" s="3"/>
      <c r="D832" s="3"/>
      <c r="E832" s="3"/>
      <c r="S832" s="3"/>
      <c r="T832" s="3"/>
      <c r="AI832" s="3"/>
      <c r="AJ832" s="3"/>
      <c r="AK832" s="3"/>
      <c r="AL832" s="3"/>
      <c r="AM832" s="3"/>
      <c r="AN832" s="3"/>
    </row>
    <row r="833" spans="3:40">
      <c r="C833" s="3"/>
      <c r="D833" s="3"/>
      <c r="E833" s="3"/>
      <c r="S833" s="3"/>
      <c r="T833" s="3"/>
      <c r="AI833" s="3"/>
      <c r="AJ833" s="3"/>
      <c r="AK833" s="3"/>
      <c r="AL833" s="3"/>
      <c r="AM833" s="3"/>
      <c r="AN833" s="3"/>
    </row>
    <row r="834" spans="3:40">
      <c r="C834" s="3"/>
      <c r="D834" s="3"/>
      <c r="E834" s="3"/>
      <c r="S834" s="3"/>
      <c r="T834" s="3"/>
      <c r="AI834" s="3"/>
      <c r="AJ834" s="3"/>
      <c r="AK834" s="3"/>
      <c r="AL834" s="3"/>
      <c r="AM834" s="3"/>
      <c r="AN834" s="3"/>
    </row>
    <row r="835" spans="3:40">
      <c r="C835" s="3"/>
      <c r="D835" s="3"/>
      <c r="E835" s="3"/>
      <c r="S835" s="3"/>
      <c r="T835" s="3"/>
      <c r="AI835" s="3"/>
      <c r="AJ835" s="3"/>
      <c r="AK835" s="3"/>
      <c r="AL835" s="3"/>
      <c r="AM835" s="3"/>
      <c r="AN835" s="3"/>
    </row>
    <row r="836" spans="3:40">
      <c r="C836" s="3"/>
      <c r="D836" s="3"/>
      <c r="E836" s="3"/>
      <c r="S836" s="3"/>
      <c r="T836" s="3"/>
      <c r="AI836" s="3"/>
      <c r="AJ836" s="3"/>
      <c r="AK836" s="3"/>
      <c r="AL836" s="3"/>
      <c r="AM836" s="3"/>
      <c r="AN836" s="3"/>
    </row>
    <row r="837" spans="3:40">
      <c r="C837" s="3"/>
      <c r="D837" s="3"/>
      <c r="E837" s="3"/>
      <c r="S837" s="3"/>
      <c r="T837" s="3"/>
      <c r="AI837" s="3"/>
      <c r="AJ837" s="3"/>
      <c r="AK837" s="3"/>
      <c r="AL837" s="3"/>
      <c r="AM837" s="3"/>
      <c r="AN837" s="3"/>
    </row>
    <row r="838" spans="3:40">
      <c r="C838" s="3"/>
      <c r="D838" s="3"/>
      <c r="E838" s="3"/>
      <c r="S838" s="3"/>
      <c r="T838" s="3"/>
      <c r="AI838" s="3"/>
      <c r="AJ838" s="3"/>
      <c r="AK838" s="3"/>
      <c r="AL838" s="3"/>
      <c r="AM838" s="3"/>
      <c r="AN838" s="3"/>
    </row>
    <row r="839" spans="3:40">
      <c r="C839" s="3"/>
      <c r="D839" s="3"/>
      <c r="E839" s="3"/>
      <c r="S839" s="3"/>
      <c r="T839" s="3"/>
      <c r="AI839" s="3"/>
      <c r="AJ839" s="3"/>
      <c r="AK839" s="3"/>
      <c r="AL839" s="3"/>
      <c r="AM839" s="3"/>
      <c r="AN839" s="3"/>
    </row>
    <row r="840" spans="3:40">
      <c r="C840" s="3"/>
      <c r="D840" s="3"/>
      <c r="E840" s="3"/>
      <c r="S840" s="3"/>
      <c r="T840" s="3"/>
      <c r="AI840" s="3"/>
      <c r="AJ840" s="3"/>
      <c r="AK840" s="3"/>
      <c r="AL840" s="3"/>
      <c r="AM840" s="3"/>
      <c r="AN840" s="3"/>
    </row>
    <row r="841" spans="3:40">
      <c r="C841" s="3"/>
      <c r="D841" s="3"/>
      <c r="E841" s="3"/>
      <c r="S841" s="3"/>
      <c r="T841" s="3"/>
      <c r="AI841" s="3"/>
      <c r="AJ841" s="3"/>
      <c r="AK841" s="3"/>
      <c r="AL841" s="3"/>
      <c r="AM841" s="3"/>
      <c r="AN841" s="3"/>
    </row>
    <row r="842" spans="3:40">
      <c r="C842" s="3"/>
      <c r="D842" s="3"/>
      <c r="E842" s="3"/>
      <c r="S842" s="3"/>
      <c r="T842" s="3"/>
      <c r="AI842" s="3"/>
      <c r="AJ842" s="3"/>
      <c r="AK842" s="3"/>
      <c r="AL842" s="3"/>
      <c r="AM842" s="3"/>
      <c r="AN842" s="3"/>
    </row>
    <row r="843" spans="3:40">
      <c r="C843" s="3"/>
      <c r="D843" s="3"/>
      <c r="E843" s="3"/>
      <c r="S843" s="3"/>
      <c r="T843" s="3"/>
      <c r="AI843" s="3"/>
      <c r="AJ843" s="3"/>
      <c r="AK843" s="3"/>
      <c r="AL843" s="3"/>
      <c r="AM843" s="3"/>
      <c r="AN843" s="3"/>
    </row>
    <row r="844" spans="3:40">
      <c r="C844" s="3"/>
      <c r="D844" s="3"/>
      <c r="E844" s="3"/>
      <c r="S844" s="3"/>
      <c r="T844" s="3"/>
      <c r="AI844" s="3"/>
      <c r="AJ844" s="3"/>
      <c r="AK844" s="3"/>
      <c r="AL844" s="3"/>
      <c r="AM844" s="3"/>
      <c r="AN844" s="3"/>
    </row>
    <row r="845" spans="3:40">
      <c r="C845" s="3"/>
      <c r="D845" s="3"/>
      <c r="E845" s="3"/>
      <c r="S845" s="3"/>
      <c r="T845" s="3"/>
      <c r="AI845" s="3"/>
      <c r="AJ845" s="3"/>
      <c r="AK845" s="3"/>
      <c r="AL845" s="3"/>
      <c r="AM845" s="3"/>
      <c r="AN845" s="3"/>
    </row>
    <row r="846" spans="3:40">
      <c r="C846" s="3"/>
      <c r="D846" s="3"/>
      <c r="E846" s="3"/>
      <c r="S846" s="3"/>
      <c r="T846" s="3"/>
      <c r="AI846" s="3"/>
      <c r="AJ846" s="3"/>
      <c r="AK846" s="3"/>
      <c r="AL846" s="3"/>
      <c r="AM846" s="3"/>
      <c r="AN846" s="3"/>
    </row>
    <row r="847" spans="3:40">
      <c r="C847" s="3"/>
      <c r="D847" s="3"/>
      <c r="E847" s="3"/>
      <c r="S847" s="3"/>
      <c r="T847" s="3"/>
      <c r="AI847" s="3"/>
      <c r="AJ847" s="3"/>
      <c r="AK847" s="3"/>
      <c r="AL847" s="3"/>
      <c r="AM847" s="3"/>
      <c r="AN847" s="3"/>
    </row>
    <row r="848" spans="3:40">
      <c r="C848" s="3"/>
      <c r="D848" s="3"/>
      <c r="E848" s="3"/>
      <c r="S848" s="3"/>
      <c r="T848" s="3"/>
      <c r="AI848" s="3"/>
      <c r="AJ848" s="3"/>
      <c r="AK848" s="3"/>
      <c r="AL848" s="3"/>
      <c r="AM848" s="3"/>
      <c r="AN848" s="3"/>
    </row>
    <row r="849" spans="3:40">
      <c r="C849" s="3"/>
      <c r="D849" s="3"/>
      <c r="E849" s="3"/>
      <c r="S849" s="3"/>
      <c r="T849" s="3"/>
      <c r="AI849" s="3"/>
      <c r="AJ849" s="3"/>
      <c r="AK849" s="3"/>
      <c r="AL849" s="3"/>
      <c r="AM849" s="3"/>
      <c r="AN849" s="3"/>
    </row>
    <row r="850" spans="3:40">
      <c r="C850" s="3"/>
      <c r="D850" s="3"/>
      <c r="E850" s="3"/>
      <c r="S850" s="3"/>
      <c r="T850" s="3"/>
      <c r="AI850" s="3"/>
      <c r="AJ850" s="3"/>
      <c r="AK850" s="3"/>
      <c r="AL850" s="3"/>
      <c r="AM850" s="3"/>
      <c r="AN850" s="3"/>
    </row>
    <row r="851" spans="3:40">
      <c r="C851" s="3"/>
      <c r="D851" s="3"/>
      <c r="E851" s="3"/>
      <c r="S851" s="3"/>
      <c r="T851" s="3"/>
      <c r="AI851" s="3"/>
      <c r="AJ851" s="3"/>
      <c r="AK851" s="3"/>
      <c r="AL851" s="3"/>
      <c r="AM851" s="3"/>
      <c r="AN851" s="3"/>
    </row>
    <row r="852" spans="3:40">
      <c r="C852" s="3"/>
      <c r="D852" s="3"/>
      <c r="E852" s="3"/>
      <c r="S852" s="3"/>
      <c r="T852" s="3"/>
      <c r="AI852" s="3"/>
      <c r="AJ852" s="3"/>
      <c r="AK852" s="3"/>
      <c r="AL852" s="3"/>
      <c r="AM852" s="3"/>
      <c r="AN852" s="3"/>
    </row>
    <row r="853" spans="3:40">
      <c r="C853" s="3"/>
      <c r="D853" s="3"/>
      <c r="E853" s="3"/>
      <c r="S853" s="3"/>
      <c r="T853" s="3"/>
      <c r="AI853" s="3"/>
      <c r="AJ853" s="3"/>
      <c r="AK853" s="3"/>
      <c r="AL853" s="3"/>
      <c r="AM853" s="3"/>
      <c r="AN853" s="3"/>
    </row>
    <row r="854" spans="3:40">
      <c r="C854" s="3"/>
      <c r="D854" s="3"/>
      <c r="E854" s="3"/>
      <c r="S854" s="3"/>
      <c r="T854" s="3"/>
      <c r="AI854" s="3"/>
      <c r="AJ854" s="3"/>
      <c r="AK854" s="3"/>
      <c r="AL854" s="3"/>
      <c r="AM854" s="3"/>
      <c r="AN854" s="3"/>
    </row>
    <row r="855" spans="3:40">
      <c r="C855" s="3"/>
      <c r="D855" s="3"/>
      <c r="E855" s="3"/>
      <c r="S855" s="3"/>
      <c r="T855" s="3"/>
      <c r="AI855" s="3"/>
      <c r="AJ855" s="3"/>
      <c r="AK855" s="3"/>
      <c r="AL855" s="3"/>
      <c r="AM855" s="3"/>
      <c r="AN855" s="3"/>
    </row>
    <row r="856" spans="3:40">
      <c r="C856" s="3"/>
      <c r="D856" s="3"/>
      <c r="E856" s="3"/>
      <c r="S856" s="3"/>
      <c r="T856" s="3"/>
      <c r="AI856" s="3"/>
      <c r="AJ856" s="3"/>
      <c r="AK856" s="3"/>
      <c r="AL856" s="3"/>
      <c r="AM856" s="3"/>
      <c r="AN856" s="3"/>
    </row>
    <row r="857" spans="3:40">
      <c r="C857" s="3"/>
      <c r="D857" s="3"/>
      <c r="E857" s="3"/>
      <c r="S857" s="3"/>
      <c r="T857" s="3"/>
      <c r="AI857" s="3"/>
      <c r="AJ857" s="3"/>
      <c r="AK857" s="3"/>
      <c r="AL857" s="3"/>
      <c r="AM857" s="3"/>
      <c r="AN857" s="3"/>
    </row>
    <row r="858" spans="3:40">
      <c r="C858" s="3"/>
      <c r="D858" s="3"/>
      <c r="E858" s="3"/>
      <c r="S858" s="3"/>
      <c r="T858" s="3"/>
      <c r="AI858" s="3"/>
      <c r="AJ858" s="3"/>
      <c r="AK858" s="3"/>
      <c r="AL858" s="3"/>
      <c r="AM858" s="3"/>
      <c r="AN858" s="3"/>
    </row>
    <row r="859" spans="3:40">
      <c r="C859" s="3"/>
      <c r="D859" s="3"/>
      <c r="E859" s="3"/>
      <c r="S859" s="3"/>
      <c r="T859" s="3"/>
      <c r="AI859" s="3"/>
      <c r="AJ859" s="3"/>
      <c r="AK859" s="3"/>
      <c r="AL859" s="3"/>
      <c r="AM859" s="3"/>
      <c r="AN859" s="3"/>
    </row>
    <row r="860" spans="3:40">
      <c r="C860" s="3"/>
      <c r="D860" s="3"/>
      <c r="E860" s="3"/>
      <c r="S860" s="3"/>
      <c r="T860" s="3"/>
      <c r="AI860" s="3"/>
      <c r="AJ860" s="3"/>
      <c r="AK860" s="3"/>
      <c r="AL860" s="3"/>
      <c r="AM860" s="3"/>
      <c r="AN860" s="3"/>
    </row>
    <row r="861" spans="3:40">
      <c r="C861" s="3"/>
      <c r="D861" s="3"/>
      <c r="E861" s="3"/>
      <c r="S861" s="3"/>
      <c r="T861" s="3"/>
      <c r="AI861" s="3"/>
      <c r="AJ861" s="3"/>
      <c r="AK861" s="3"/>
      <c r="AL861" s="3"/>
      <c r="AM861" s="3"/>
      <c r="AN861" s="3"/>
    </row>
    <row r="862" spans="3:40">
      <c r="C862" s="3"/>
      <c r="D862" s="3"/>
      <c r="E862" s="3"/>
      <c r="S862" s="3"/>
      <c r="T862" s="3"/>
      <c r="AI862" s="3"/>
      <c r="AJ862" s="3"/>
      <c r="AK862" s="3"/>
      <c r="AL862" s="3"/>
      <c r="AM862" s="3"/>
      <c r="AN862" s="3"/>
    </row>
    <row r="863" spans="3:40">
      <c r="C863" s="3"/>
      <c r="D863" s="3"/>
      <c r="E863" s="3"/>
      <c r="S863" s="3"/>
      <c r="T863" s="3"/>
      <c r="AI863" s="3"/>
      <c r="AJ863" s="3"/>
      <c r="AK863" s="3"/>
      <c r="AL863" s="3"/>
      <c r="AM863" s="3"/>
      <c r="AN863" s="3"/>
    </row>
    <row r="864" spans="3:40">
      <c r="C864" s="3"/>
      <c r="D864" s="3"/>
      <c r="E864" s="3"/>
      <c r="S864" s="3"/>
      <c r="T864" s="3"/>
      <c r="AI864" s="3"/>
      <c r="AJ864" s="3"/>
      <c r="AK864" s="3"/>
      <c r="AL864" s="3"/>
      <c r="AM864" s="3"/>
      <c r="AN864" s="3"/>
    </row>
    <row r="865" spans="3:40">
      <c r="C865" s="3"/>
      <c r="D865" s="3"/>
      <c r="E865" s="3"/>
      <c r="S865" s="3"/>
      <c r="T865" s="3"/>
      <c r="AI865" s="3"/>
      <c r="AJ865" s="3"/>
      <c r="AK865" s="3"/>
      <c r="AL865" s="3"/>
      <c r="AM865" s="3"/>
      <c r="AN865" s="3"/>
    </row>
    <row r="866" spans="3:40">
      <c r="C866" s="3"/>
      <c r="D866" s="3"/>
      <c r="E866" s="3"/>
      <c r="S866" s="3"/>
      <c r="T866" s="3"/>
      <c r="AI866" s="3"/>
      <c r="AJ866" s="3"/>
      <c r="AK866" s="3"/>
      <c r="AL866" s="3"/>
      <c r="AM866" s="3"/>
      <c r="AN866" s="3"/>
    </row>
    <row r="867" spans="3:40">
      <c r="C867" s="3"/>
      <c r="D867" s="3"/>
      <c r="E867" s="3"/>
      <c r="S867" s="3"/>
      <c r="T867" s="3"/>
      <c r="AI867" s="3"/>
      <c r="AJ867" s="3"/>
      <c r="AK867" s="3"/>
      <c r="AL867" s="3"/>
      <c r="AM867" s="3"/>
      <c r="AN867" s="3"/>
    </row>
    <row r="868" spans="3:40">
      <c r="C868" s="3"/>
      <c r="D868" s="3"/>
      <c r="E868" s="3"/>
      <c r="S868" s="3"/>
      <c r="T868" s="3"/>
      <c r="AI868" s="3"/>
      <c r="AJ868" s="3"/>
      <c r="AK868" s="3"/>
      <c r="AL868" s="3"/>
      <c r="AM868" s="3"/>
      <c r="AN868" s="3"/>
    </row>
    <row r="869" spans="3:40">
      <c r="C869" s="3"/>
      <c r="D869" s="3"/>
      <c r="E869" s="3"/>
      <c r="S869" s="3"/>
      <c r="T869" s="3"/>
      <c r="AI869" s="3"/>
      <c r="AJ869" s="3"/>
      <c r="AK869" s="3"/>
      <c r="AL869" s="3"/>
      <c r="AM869" s="3"/>
      <c r="AN869" s="3"/>
    </row>
    <row r="870" spans="3:40">
      <c r="C870" s="3"/>
      <c r="D870" s="3"/>
      <c r="E870" s="3"/>
      <c r="S870" s="3"/>
      <c r="T870" s="3"/>
      <c r="AI870" s="3"/>
      <c r="AJ870" s="3"/>
      <c r="AK870" s="3"/>
      <c r="AL870" s="3"/>
      <c r="AM870" s="3"/>
      <c r="AN870" s="3"/>
    </row>
    <row r="871" spans="3:40">
      <c r="C871" s="3"/>
      <c r="D871" s="3"/>
      <c r="E871" s="3"/>
      <c r="S871" s="3"/>
      <c r="T871" s="3"/>
      <c r="AI871" s="3"/>
      <c r="AJ871" s="3"/>
      <c r="AK871" s="3"/>
      <c r="AL871" s="3"/>
      <c r="AM871" s="3"/>
      <c r="AN871" s="3"/>
    </row>
    <row r="872" spans="3:40">
      <c r="C872" s="3"/>
      <c r="D872" s="3"/>
      <c r="E872" s="3"/>
      <c r="S872" s="3"/>
      <c r="T872" s="3"/>
      <c r="AI872" s="3"/>
      <c r="AJ872" s="3"/>
      <c r="AK872" s="3"/>
      <c r="AL872" s="3"/>
      <c r="AM872" s="3"/>
      <c r="AN872" s="3"/>
    </row>
    <row r="873" spans="3:40">
      <c r="C873" s="3"/>
      <c r="D873" s="3"/>
      <c r="E873" s="3"/>
      <c r="S873" s="3"/>
      <c r="T873" s="3"/>
      <c r="AI873" s="3"/>
      <c r="AJ873" s="3"/>
      <c r="AK873" s="3"/>
      <c r="AL873" s="3"/>
      <c r="AM873" s="3"/>
      <c r="AN873" s="3"/>
    </row>
    <row r="874" spans="3:40">
      <c r="C874" s="3"/>
      <c r="D874" s="3"/>
      <c r="E874" s="3"/>
      <c r="S874" s="3"/>
      <c r="T874" s="3"/>
      <c r="AI874" s="3"/>
      <c r="AJ874" s="3"/>
      <c r="AK874" s="3"/>
      <c r="AL874" s="3"/>
      <c r="AM874" s="3"/>
      <c r="AN874" s="3"/>
    </row>
    <row r="875" spans="3:40">
      <c r="C875" s="3"/>
      <c r="D875" s="3"/>
      <c r="E875" s="3"/>
      <c r="S875" s="3"/>
      <c r="T875" s="3"/>
      <c r="AI875" s="3"/>
      <c r="AJ875" s="3"/>
      <c r="AK875" s="3"/>
      <c r="AL875" s="3"/>
      <c r="AM875" s="3"/>
      <c r="AN875" s="3"/>
    </row>
    <row r="876" spans="3:40">
      <c r="C876" s="3"/>
      <c r="D876" s="3"/>
      <c r="E876" s="3"/>
      <c r="S876" s="3"/>
      <c r="T876" s="3"/>
      <c r="AI876" s="3"/>
      <c r="AJ876" s="3"/>
      <c r="AK876" s="3"/>
      <c r="AL876" s="3"/>
      <c r="AM876" s="3"/>
      <c r="AN876" s="3"/>
    </row>
    <row r="877" spans="3:40">
      <c r="C877" s="3"/>
      <c r="D877" s="3"/>
      <c r="E877" s="3"/>
      <c r="S877" s="3"/>
      <c r="T877" s="3"/>
      <c r="AI877" s="3"/>
      <c r="AJ877" s="3"/>
      <c r="AK877" s="3"/>
      <c r="AL877" s="3"/>
      <c r="AM877" s="3"/>
      <c r="AN877" s="3"/>
    </row>
    <row r="878" spans="3:40">
      <c r="C878" s="3"/>
      <c r="D878" s="3"/>
      <c r="E878" s="3"/>
      <c r="S878" s="3"/>
      <c r="T878" s="3"/>
      <c r="AI878" s="3"/>
      <c r="AJ878" s="3"/>
      <c r="AK878" s="3"/>
      <c r="AL878" s="3"/>
      <c r="AM878" s="3"/>
      <c r="AN878" s="3"/>
    </row>
    <row r="879" spans="3:40">
      <c r="C879" s="3"/>
      <c r="D879" s="3"/>
      <c r="E879" s="3"/>
      <c r="S879" s="3"/>
      <c r="T879" s="3"/>
      <c r="AI879" s="3"/>
      <c r="AJ879" s="3"/>
      <c r="AK879" s="3"/>
      <c r="AL879" s="3"/>
      <c r="AM879" s="3"/>
      <c r="AN879" s="3"/>
    </row>
    <row r="880" spans="3:40">
      <c r="C880" s="3"/>
      <c r="D880" s="3"/>
      <c r="E880" s="3"/>
      <c r="S880" s="3"/>
      <c r="T880" s="3"/>
      <c r="AI880" s="3"/>
      <c r="AJ880" s="3"/>
      <c r="AK880" s="3"/>
      <c r="AL880" s="3"/>
      <c r="AM880" s="3"/>
      <c r="AN880" s="3"/>
    </row>
    <row r="881" spans="3:40">
      <c r="C881" s="3"/>
      <c r="D881" s="3"/>
      <c r="E881" s="3"/>
      <c r="S881" s="3"/>
      <c r="T881" s="3"/>
      <c r="AI881" s="3"/>
      <c r="AJ881" s="3"/>
      <c r="AK881" s="3"/>
      <c r="AL881" s="3"/>
      <c r="AM881" s="3"/>
      <c r="AN881" s="3"/>
    </row>
    <row r="882" spans="3:40">
      <c r="C882" s="3"/>
      <c r="D882" s="3"/>
      <c r="E882" s="3"/>
      <c r="S882" s="3"/>
      <c r="T882" s="3"/>
      <c r="AI882" s="3"/>
      <c r="AJ882" s="3"/>
      <c r="AK882" s="3"/>
      <c r="AL882" s="3"/>
      <c r="AM882" s="3"/>
      <c r="AN882" s="3"/>
    </row>
    <row r="883" spans="3:40">
      <c r="C883" s="3"/>
      <c r="D883" s="3"/>
      <c r="E883" s="3"/>
      <c r="S883" s="3"/>
      <c r="T883" s="3"/>
      <c r="AI883" s="3"/>
      <c r="AJ883" s="3"/>
      <c r="AK883" s="3"/>
      <c r="AL883" s="3"/>
      <c r="AM883" s="3"/>
      <c r="AN883" s="3"/>
    </row>
    <row r="884" spans="3:40">
      <c r="C884" s="3"/>
      <c r="D884" s="3"/>
      <c r="E884" s="3"/>
      <c r="S884" s="3"/>
      <c r="T884" s="3"/>
      <c r="AI884" s="3"/>
      <c r="AJ884" s="3"/>
      <c r="AK884" s="3"/>
      <c r="AL884" s="3"/>
      <c r="AM884" s="3"/>
      <c r="AN884" s="3"/>
    </row>
    <row r="885" spans="3:40">
      <c r="C885" s="3"/>
      <c r="D885" s="3"/>
      <c r="E885" s="3"/>
      <c r="S885" s="3"/>
      <c r="T885" s="3"/>
      <c r="AI885" s="3"/>
      <c r="AJ885" s="3"/>
      <c r="AK885" s="3"/>
      <c r="AL885" s="3"/>
      <c r="AM885" s="3"/>
      <c r="AN885" s="3"/>
    </row>
    <row r="886" spans="3:40">
      <c r="C886" s="3"/>
      <c r="D886" s="3"/>
      <c r="E886" s="3"/>
      <c r="S886" s="3"/>
      <c r="T886" s="3"/>
      <c r="AI886" s="3"/>
      <c r="AJ886" s="3"/>
      <c r="AK886" s="3"/>
      <c r="AL886" s="3"/>
      <c r="AM886" s="3"/>
      <c r="AN886" s="3"/>
    </row>
    <row r="887" spans="3:40">
      <c r="C887" s="3"/>
      <c r="D887" s="3"/>
      <c r="E887" s="3"/>
      <c r="S887" s="3"/>
      <c r="T887" s="3"/>
      <c r="AI887" s="3"/>
      <c r="AJ887" s="3"/>
      <c r="AK887" s="3"/>
      <c r="AL887" s="3"/>
      <c r="AM887" s="3"/>
      <c r="AN887" s="3"/>
    </row>
    <row r="888" spans="3:40">
      <c r="C888" s="3"/>
      <c r="D888" s="3"/>
      <c r="E888" s="3"/>
      <c r="S888" s="3"/>
      <c r="T888" s="3"/>
      <c r="AI888" s="3"/>
      <c r="AJ888" s="3"/>
      <c r="AK888" s="3"/>
      <c r="AL888" s="3"/>
      <c r="AM888" s="3"/>
      <c r="AN888" s="3"/>
    </row>
    <row r="889" spans="3:40">
      <c r="C889" s="3"/>
      <c r="D889" s="3"/>
      <c r="E889" s="3"/>
      <c r="S889" s="3"/>
      <c r="T889" s="3"/>
      <c r="AI889" s="3"/>
      <c r="AJ889" s="3"/>
      <c r="AK889" s="3"/>
      <c r="AL889" s="3"/>
      <c r="AM889" s="3"/>
      <c r="AN889" s="3"/>
    </row>
    <row r="890" spans="3:40">
      <c r="C890" s="3"/>
      <c r="D890" s="3"/>
      <c r="E890" s="3"/>
      <c r="S890" s="3"/>
      <c r="T890" s="3"/>
      <c r="AI890" s="3"/>
      <c r="AJ890" s="3"/>
      <c r="AK890" s="3"/>
      <c r="AL890" s="3"/>
      <c r="AM890" s="3"/>
      <c r="AN890" s="3"/>
    </row>
    <row r="891" spans="3:40">
      <c r="C891" s="3"/>
      <c r="D891" s="3"/>
      <c r="E891" s="3"/>
      <c r="S891" s="3"/>
      <c r="T891" s="3"/>
      <c r="AI891" s="3"/>
      <c r="AJ891" s="3"/>
      <c r="AK891" s="3"/>
      <c r="AL891" s="3"/>
      <c r="AM891" s="3"/>
      <c r="AN891" s="3"/>
    </row>
    <row r="892" spans="3:40">
      <c r="C892" s="3"/>
      <c r="D892" s="3"/>
      <c r="E892" s="3"/>
      <c r="S892" s="3"/>
      <c r="T892" s="3"/>
      <c r="AI892" s="3"/>
      <c r="AJ892" s="3"/>
      <c r="AK892" s="3"/>
      <c r="AL892" s="3"/>
      <c r="AM892" s="3"/>
      <c r="AN892" s="3"/>
    </row>
    <row r="893" spans="3:40">
      <c r="C893" s="3"/>
      <c r="D893" s="3"/>
      <c r="E893" s="3"/>
      <c r="S893" s="3"/>
      <c r="T893" s="3"/>
      <c r="AI893" s="3"/>
      <c r="AJ893" s="3"/>
      <c r="AK893" s="3"/>
      <c r="AL893" s="3"/>
      <c r="AM893" s="3"/>
      <c r="AN893" s="3"/>
    </row>
    <row r="894" spans="3:40">
      <c r="C894" s="3"/>
      <c r="D894" s="3"/>
      <c r="E894" s="3"/>
      <c r="S894" s="3"/>
      <c r="T894" s="3"/>
      <c r="AI894" s="3"/>
      <c r="AJ894" s="3"/>
      <c r="AK894" s="3"/>
      <c r="AL894" s="3"/>
      <c r="AM894" s="3"/>
      <c r="AN894" s="3"/>
    </row>
    <row r="895" spans="3:40">
      <c r="C895" s="3"/>
      <c r="D895" s="3"/>
      <c r="E895" s="3"/>
      <c r="S895" s="3"/>
      <c r="T895" s="3"/>
      <c r="AI895" s="3"/>
      <c r="AJ895" s="3"/>
      <c r="AK895" s="3"/>
      <c r="AL895" s="3"/>
      <c r="AM895" s="3"/>
      <c r="AN895" s="3"/>
    </row>
    <row r="896" spans="3:40">
      <c r="C896" s="3"/>
      <c r="D896" s="3"/>
      <c r="E896" s="3"/>
      <c r="S896" s="3"/>
      <c r="T896" s="3"/>
      <c r="AI896" s="3"/>
      <c r="AJ896" s="3"/>
      <c r="AK896" s="3"/>
      <c r="AL896" s="3"/>
      <c r="AM896" s="3"/>
      <c r="AN896" s="3"/>
    </row>
    <row r="897" spans="3:40">
      <c r="C897" s="3"/>
      <c r="D897" s="3"/>
      <c r="E897" s="3"/>
      <c r="S897" s="3"/>
      <c r="T897" s="3"/>
      <c r="AI897" s="3"/>
      <c r="AJ897" s="3"/>
      <c r="AK897" s="3"/>
      <c r="AL897" s="3"/>
      <c r="AM897" s="3"/>
      <c r="AN897" s="3"/>
    </row>
    <row r="898" spans="3:40">
      <c r="C898" s="3"/>
      <c r="D898" s="3"/>
      <c r="E898" s="3"/>
      <c r="S898" s="3"/>
      <c r="T898" s="3"/>
      <c r="AI898" s="3"/>
      <c r="AJ898" s="3"/>
      <c r="AK898" s="3"/>
      <c r="AL898" s="3"/>
      <c r="AM898" s="3"/>
      <c r="AN898" s="3"/>
    </row>
    <row r="899" spans="3:40">
      <c r="C899" s="3"/>
      <c r="D899" s="3"/>
      <c r="E899" s="3"/>
      <c r="S899" s="3"/>
      <c r="T899" s="3"/>
      <c r="AI899" s="3"/>
      <c r="AJ899" s="3"/>
      <c r="AK899" s="3"/>
      <c r="AL899" s="3"/>
      <c r="AM899" s="3"/>
      <c r="AN899" s="3"/>
    </row>
    <row r="900" spans="3:40">
      <c r="C900" s="3"/>
      <c r="D900" s="3"/>
      <c r="E900" s="3"/>
      <c r="S900" s="3"/>
      <c r="T900" s="3"/>
      <c r="AI900" s="3"/>
      <c r="AJ900" s="3"/>
      <c r="AK900" s="3"/>
      <c r="AL900" s="3"/>
      <c r="AM900" s="3"/>
      <c r="AN900" s="3"/>
    </row>
    <row r="901" spans="3:40">
      <c r="C901" s="3"/>
      <c r="D901" s="3"/>
      <c r="E901" s="3"/>
      <c r="S901" s="3"/>
      <c r="T901" s="3"/>
      <c r="AI901" s="3"/>
      <c r="AJ901" s="3"/>
      <c r="AK901" s="3"/>
      <c r="AL901" s="3"/>
      <c r="AM901" s="3"/>
      <c r="AN901" s="3"/>
    </row>
    <row r="902" spans="3:40">
      <c r="C902" s="3"/>
      <c r="D902" s="3"/>
      <c r="E902" s="3"/>
      <c r="S902" s="3"/>
      <c r="T902" s="3"/>
      <c r="AI902" s="3"/>
      <c r="AJ902" s="3"/>
      <c r="AK902" s="3"/>
      <c r="AL902" s="3"/>
      <c r="AM902" s="3"/>
      <c r="AN902" s="3"/>
    </row>
    <row r="903" spans="3:40">
      <c r="C903" s="3"/>
      <c r="D903" s="3"/>
      <c r="E903" s="3"/>
      <c r="S903" s="3"/>
      <c r="T903" s="3"/>
      <c r="AI903" s="3"/>
      <c r="AJ903" s="3"/>
      <c r="AK903" s="3"/>
      <c r="AL903" s="3"/>
      <c r="AM903" s="3"/>
      <c r="AN903" s="3"/>
    </row>
    <row r="904" spans="3:40">
      <c r="C904" s="3"/>
      <c r="D904" s="3"/>
      <c r="E904" s="3"/>
      <c r="S904" s="3"/>
      <c r="T904" s="3"/>
      <c r="AI904" s="3"/>
      <c r="AJ904" s="3"/>
      <c r="AK904" s="3"/>
      <c r="AL904" s="3"/>
      <c r="AM904" s="3"/>
      <c r="AN904" s="3"/>
    </row>
    <row r="905" spans="3:40">
      <c r="C905" s="3"/>
      <c r="D905" s="3"/>
      <c r="E905" s="3"/>
      <c r="S905" s="3"/>
      <c r="T905" s="3"/>
      <c r="AI905" s="3"/>
      <c r="AJ905" s="3"/>
      <c r="AK905" s="3"/>
      <c r="AL905" s="3"/>
      <c r="AM905" s="3"/>
      <c r="AN905" s="3"/>
    </row>
    <row r="906" spans="3:40">
      <c r="C906" s="3"/>
      <c r="D906" s="3"/>
      <c r="E906" s="3"/>
      <c r="S906" s="3"/>
      <c r="T906" s="3"/>
      <c r="AI906" s="3"/>
      <c r="AJ906" s="3"/>
      <c r="AK906" s="3"/>
      <c r="AL906" s="3"/>
      <c r="AM906" s="3"/>
      <c r="AN906" s="3"/>
    </row>
    <row r="907" spans="3:40">
      <c r="C907" s="3"/>
      <c r="D907" s="3"/>
      <c r="E907" s="3"/>
      <c r="S907" s="3"/>
      <c r="T907" s="3"/>
      <c r="AI907" s="3"/>
      <c r="AJ907" s="3"/>
      <c r="AK907" s="3"/>
      <c r="AL907" s="3"/>
      <c r="AM907" s="3"/>
      <c r="AN907" s="3"/>
    </row>
    <row r="908" spans="3:40">
      <c r="C908" s="3"/>
      <c r="D908" s="3"/>
      <c r="E908" s="3"/>
      <c r="S908" s="3"/>
      <c r="T908" s="3"/>
      <c r="AI908" s="3"/>
      <c r="AJ908" s="3"/>
      <c r="AK908" s="3"/>
      <c r="AL908" s="3"/>
      <c r="AM908" s="3"/>
      <c r="AN908" s="3"/>
    </row>
    <row r="909" spans="3:40">
      <c r="C909" s="3"/>
      <c r="D909" s="3"/>
      <c r="E909" s="3"/>
      <c r="S909" s="3"/>
      <c r="T909" s="3"/>
      <c r="AI909" s="3"/>
      <c r="AJ909" s="3"/>
      <c r="AK909" s="3"/>
      <c r="AL909" s="3"/>
      <c r="AM909" s="3"/>
      <c r="AN909" s="3"/>
    </row>
    <row r="910" spans="3:40">
      <c r="C910" s="3"/>
      <c r="D910" s="3"/>
      <c r="E910" s="3"/>
      <c r="S910" s="3"/>
      <c r="T910" s="3"/>
      <c r="AI910" s="3"/>
      <c r="AJ910" s="3"/>
      <c r="AK910" s="3"/>
      <c r="AL910" s="3"/>
      <c r="AM910" s="3"/>
      <c r="AN910" s="3"/>
    </row>
    <row r="911" spans="3:40">
      <c r="C911" s="3"/>
      <c r="D911" s="3"/>
      <c r="E911" s="3"/>
      <c r="S911" s="3"/>
      <c r="T911" s="3"/>
      <c r="AI911" s="3"/>
      <c r="AJ911" s="3"/>
      <c r="AK911" s="3"/>
      <c r="AL911" s="3"/>
      <c r="AM911" s="3"/>
      <c r="AN911" s="3"/>
    </row>
    <row r="912" spans="3:40">
      <c r="C912" s="3"/>
      <c r="D912" s="3"/>
      <c r="E912" s="3"/>
      <c r="S912" s="3"/>
      <c r="T912" s="3"/>
      <c r="AI912" s="3"/>
      <c r="AJ912" s="3"/>
      <c r="AK912" s="3"/>
      <c r="AL912" s="3"/>
      <c r="AM912" s="3"/>
      <c r="AN912" s="3"/>
    </row>
    <row r="913" spans="3:40">
      <c r="C913" s="3"/>
      <c r="D913" s="3"/>
      <c r="E913" s="3"/>
      <c r="S913" s="3"/>
      <c r="T913" s="3"/>
      <c r="AI913" s="3"/>
      <c r="AJ913" s="3"/>
      <c r="AK913" s="3"/>
      <c r="AL913" s="3"/>
      <c r="AM913" s="3"/>
      <c r="AN913" s="3"/>
    </row>
    <row r="914" spans="3:40">
      <c r="C914" s="3"/>
      <c r="D914" s="3"/>
      <c r="E914" s="3"/>
      <c r="S914" s="3"/>
      <c r="T914" s="3"/>
      <c r="AI914" s="3"/>
      <c r="AJ914" s="3"/>
      <c r="AK914" s="3"/>
      <c r="AL914" s="3"/>
      <c r="AM914" s="3"/>
      <c r="AN914" s="3"/>
    </row>
    <row r="915" spans="3:40">
      <c r="C915" s="3"/>
      <c r="D915" s="3"/>
      <c r="E915" s="3"/>
      <c r="S915" s="3"/>
      <c r="T915" s="3"/>
      <c r="AI915" s="3"/>
      <c r="AJ915" s="3"/>
      <c r="AK915" s="3"/>
      <c r="AL915" s="3"/>
      <c r="AM915" s="3"/>
      <c r="AN915" s="3"/>
    </row>
    <row r="916" spans="3:40">
      <c r="C916" s="3"/>
      <c r="D916" s="3"/>
      <c r="E916" s="3"/>
      <c r="S916" s="3"/>
      <c r="T916" s="3"/>
      <c r="AI916" s="3"/>
      <c r="AJ916" s="3"/>
      <c r="AK916" s="3"/>
      <c r="AL916" s="3"/>
      <c r="AM916" s="3"/>
      <c r="AN916" s="3"/>
    </row>
    <row r="917" spans="3:40">
      <c r="C917" s="3"/>
      <c r="D917" s="3"/>
      <c r="E917" s="3"/>
      <c r="S917" s="3"/>
      <c r="T917" s="3"/>
      <c r="AI917" s="3"/>
      <c r="AJ917" s="3"/>
      <c r="AK917" s="3"/>
      <c r="AL917" s="3"/>
      <c r="AM917" s="3"/>
      <c r="AN917" s="3"/>
    </row>
    <row r="918" spans="3:40">
      <c r="C918" s="3"/>
      <c r="D918" s="3"/>
      <c r="E918" s="3"/>
      <c r="S918" s="3"/>
      <c r="T918" s="3"/>
      <c r="AI918" s="3"/>
      <c r="AJ918" s="3"/>
      <c r="AK918" s="3"/>
      <c r="AL918" s="3"/>
      <c r="AM918" s="3"/>
      <c r="AN918" s="3"/>
    </row>
    <row r="919" spans="3:40">
      <c r="C919" s="3"/>
      <c r="D919" s="3"/>
      <c r="E919" s="3"/>
      <c r="S919" s="3"/>
      <c r="T919" s="3"/>
      <c r="AI919" s="3"/>
      <c r="AJ919" s="3"/>
      <c r="AK919" s="3"/>
      <c r="AL919" s="3"/>
      <c r="AM919" s="3"/>
      <c r="AN919" s="3"/>
    </row>
    <row r="920" spans="3:40">
      <c r="C920" s="3"/>
      <c r="D920" s="3"/>
      <c r="E920" s="3"/>
      <c r="S920" s="3"/>
      <c r="T920" s="3"/>
      <c r="AI920" s="3"/>
      <c r="AJ920" s="3"/>
      <c r="AK920" s="3"/>
      <c r="AL920" s="3"/>
      <c r="AM920" s="3"/>
      <c r="AN920" s="3"/>
    </row>
    <row r="921" spans="3:40">
      <c r="C921" s="3"/>
      <c r="D921" s="3"/>
      <c r="E921" s="3"/>
      <c r="S921" s="3"/>
      <c r="T921" s="3"/>
      <c r="AI921" s="3"/>
      <c r="AJ921" s="3"/>
      <c r="AK921" s="3"/>
      <c r="AL921" s="3"/>
      <c r="AM921" s="3"/>
      <c r="AN921" s="3"/>
    </row>
    <row r="922" spans="3:40">
      <c r="C922" s="3"/>
      <c r="D922" s="3"/>
      <c r="E922" s="3"/>
      <c r="S922" s="3"/>
      <c r="T922" s="3"/>
      <c r="AI922" s="3"/>
      <c r="AJ922" s="3"/>
      <c r="AK922" s="3"/>
      <c r="AL922" s="3"/>
      <c r="AM922" s="3"/>
      <c r="AN922" s="3"/>
    </row>
    <row r="923" spans="3:40">
      <c r="C923" s="3"/>
      <c r="D923" s="3"/>
      <c r="E923" s="3"/>
      <c r="S923" s="3"/>
      <c r="T923" s="3"/>
      <c r="AI923" s="3"/>
      <c r="AJ923" s="3"/>
      <c r="AK923" s="3"/>
      <c r="AL923" s="3"/>
      <c r="AM923" s="3"/>
      <c r="AN923" s="3"/>
    </row>
    <row r="924" spans="3:40">
      <c r="C924" s="3"/>
      <c r="D924" s="3"/>
      <c r="E924" s="3"/>
      <c r="S924" s="3"/>
      <c r="T924" s="3"/>
      <c r="AI924" s="3"/>
      <c r="AJ924" s="3"/>
      <c r="AK924" s="3"/>
      <c r="AL924" s="3"/>
      <c r="AM924" s="3"/>
      <c r="AN924" s="3"/>
    </row>
    <row r="925" spans="3:40">
      <c r="C925" s="3"/>
      <c r="D925" s="3"/>
      <c r="E925" s="3"/>
      <c r="S925" s="3"/>
      <c r="T925" s="3"/>
      <c r="AI925" s="3"/>
      <c r="AJ925" s="3"/>
      <c r="AK925" s="3"/>
      <c r="AL925" s="3"/>
      <c r="AM925" s="3"/>
      <c r="AN925" s="3"/>
    </row>
    <row r="926" spans="3:40">
      <c r="C926" s="3"/>
      <c r="D926" s="3"/>
      <c r="E926" s="3"/>
      <c r="S926" s="3"/>
      <c r="T926" s="3"/>
      <c r="AI926" s="3"/>
      <c r="AJ926" s="3"/>
      <c r="AK926" s="3"/>
      <c r="AL926" s="3"/>
      <c r="AM926" s="3"/>
      <c r="AN926" s="3"/>
    </row>
    <row r="927" spans="3:40">
      <c r="C927" s="3"/>
      <c r="D927" s="3"/>
      <c r="E927" s="3"/>
      <c r="S927" s="3"/>
      <c r="T927" s="3"/>
      <c r="AI927" s="3"/>
      <c r="AJ927" s="3"/>
      <c r="AK927" s="3"/>
      <c r="AL927" s="3"/>
      <c r="AM927" s="3"/>
      <c r="AN927" s="3"/>
    </row>
    <row r="928" spans="3:40">
      <c r="C928" s="3"/>
      <c r="D928" s="3"/>
      <c r="E928" s="3"/>
      <c r="S928" s="3"/>
      <c r="T928" s="3"/>
      <c r="AI928" s="3"/>
      <c r="AJ928" s="3"/>
      <c r="AK928" s="3"/>
      <c r="AL928" s="3"/>
      <c r="AM928" s="3"/>
      <c r="AN928" s="3"/>
    </row>
    <row r="929" spans="3:40">
      <c r="C929" s="3"/>
      <c r="D929" s="3"/>
      <c r="E929" s="3"/>
      <c r="S929" s="3"/>
      <c r="T929" s="3"/>
      <c r="AI929" s="3"/>
      <c r="AJ929" s="3"/>
      <c r="AK929" s="3"/>
      <c r="AL929" s="3"/>
      <c r="AM929" s="3"/>
      <c r="AN929" s="3"/>
    </row>
    <row r="930" spans="3:40">
      <c r="C930" s="3"/>
      <c r="D930" s="3"/>
      <c r="E930" s="3"/>
      <c r="S930" s="3"/>
      <c r="T930" s="3"/>
      <c r="AI930" s="3"/>
      <c r="AJ930" s="3"/>
      <c r="AK930" s="3"/>
      <c r="AL930" s="3"/>
      <c r="AM930" s="3"/>
      <c r="AN930" s="3"/>
    </row>
    <row r="931" spans="3:40">
      <c r="C931" s="3"/>
      <c r="D931" s="3"/>
      <c r="E931" s="3"/>
      <c r="S931" s="3"/>
      <c r="T931" s="3"/>
      <c r="AI931" s="3"/>
      <c r="AJ931" s="3"/>
      <c r="AK931" s="3"/>
      <c r="AL931" s="3"/>
      <c r="AM931" s="3"/>
      <c r="AN931" s="3"/>
    </row>
    <row r="932" spans="3:40">
      <c r="C932" s="3"/>
      <c r="D932" s="3"/>
      <c r="E932" s="3"/>
      <c r="S932" s="3"/>
      <c r="T932" s="3"/>
      <c r="AI932" s="3"/>
      <c r="AJ932" s="3"/>
      <c r="AK932" s="3"/>
      <c r="AL932" s="3"/>
      <c r="AM932" s="3"/>
      <c r="AN932" s="3"/>
    </row>
    <row r="933" spans="3:40">
      <c r="C933" s="3"/>
      <c r="D933" s="3"/>
      <c r="E933" s="3"/>
      <c r="S933" s="3"/>
      <c r="T933" s="3"/>
      <c r="AI933" s="3"/>
      <c r="AJ933" s="3"/>
      <c r="AK933" s="3"/>
      <c r="AL933" s="3"/>
      <c r="AM933" s="3"/>
      <c r="AN933" s="3"/>
    </row>
    <row r="934" spans="3:40">
      <c r="C934" s="3"/>
      <c r="D934" s="3"/>
      <c r="E934" s="3"/>
      <c r="S934" s="3"/>
      <c r="T934" s="3"/>
      <c r="AI934" s="3"/>
      <c r="AJ934" s="3"/>
      <c r="AK934" s="3"/>
      <c r="AL934" s="3"/>
      <c r="AM934" s="3"/>
      <c r="AN934" s="3"/>
    </row>
    <row r="935" spans="3:40">
      <c r="C935" s="3"/>
      <c r="D935" s="3"/>
      <c r="E935" s="3"/>
      <c r="S935" s="3"/>
      <c r="T935" s="3"/>
      <c r="AI935" s="3"/>
      <c r="AJ935" s="3"/>
      <c r="AK935" s="3"/>
      <c r="AL935" s="3"/>
      <c r="AM935" s="3"/>
      <c r="AN935" s="3"/>
    </row>
    <row r="936" spans="3:40">
      <c r="C936" s="3"/>
      <c r="D936" s="3"/>
      <c r="E936" s="3"/>
      <c r="S936" s="3"/>
      <c r="T936" s="3"/>
      <c r="AI936" s="3"/>
      <c r="AJ936" s="3"/>
      <c r="AK936" s="3"/>
      <c r="AL936" s="3"/>
      <c r="AM936" s="3"/>
      <c r="AN936" s="3"/>
    </row>
    <row r="937" spans="3:40">
      <c r="C937" s="3"/>
      <c r="D937" s="3"/>
      <c r="E937" s="3"/>
      <c r="S937" s="3"/>
      <c r="T937" s="3"/>
      <c r="AI937" s="3"/>
      <c r="AJ937" s="3"/>
      <c r="AK937" s="3"/>
      <c r="AL937" s="3"/>
      <c r="AM937" s="3"/>
      <c r="AN937" s="3"/>
    </row>
    <row r="938" spans="3:40">
      <c r="C938" s="3"/>
      <c r="D938" s="3"/>
      <c r="E938" s="3"/>
      <c r="S938" s="3"/>
      <c r="T938" s="3"/>
      <c r="AI938" s="3"/>
      <c r="AJ938" s="3"/>
      <c r="AK938" s="3"/>
      <c r="AL938" s="3"/>
      <c r="AM938" s="3"/>
      <c r="AN938" s="3"/>
    </row>
    <row r="939" spans="3:40">
      <c r="C939" s="3"/>
      <c r="D939" s="3"/>
      <c r="E939" s="3"/>
      <c r="S939" s="3"/>
      <c r="T939" s="3"/>
      <c r="AI939" s="3"/>
      <c r="AJ939" s="3"/>
      <c r="AK939" s="3"/>
      <c r="AL939" s="3"/>
      <c r="AM939" s="3"/>
      <c r="AN939" s="3"/>
    </row>
    <row r="940" spans="3:40">
      <c r="C940" s="3"/>
      <c r="D940" s="3"/>
      <c r="E940" s="3"/>
      <c r="S940" s="3"/>
      <c r="T940" s="3"/>
      <c r="AI940" s="3"/>
      <c r="AJ940" s="3"/>
      <c r="AK940" s="3"/>
      <c r="AL940" s="3"/>
      <c r="AM940" s="3"/>
      <c r="AN940" s="3"/>
    </row>
    <row r="941" spans="3:40">
      <c r="C941" s="3"/>
      <c r="D941" s="3"/>
      <c r="E941" s="3"/>
      <c r="S941" s="3"/>
      <c r="T941" s="3"/>
      <c r="AI941" s="3"/>
      <c r="AJ941" s="3"/>
      <c r="AK941" s="3"/>
      <c r="AL941" s="3"/>
      <c r="AM941" s="3"/>
      <c r="AN941" s="3"/>
    </row>
    <row r="942" spans="3:40">
      <c r="C942" s="3"/>
      <c r="D942" s="3"/>
      <c r="E942" s="3"/>
      <c r="S942" s="3"/>
      <c r="T942" s="3"/>
      <c r="AI942" s="3"/>
      <c r="AJ942" s="3"/>
      <c r="AK942" s="3"/>
      <c r="AL942" s="3"/>
      <c r="AM942" s="3"/>
      <c r="AN942" s="3"/>
    </row>
    <row r="943" spans="3:40">
      <c r="C943" s="3"/>
      <c r="D943" s="3"/>
      <c r="E943" s="3"/>
      <c r="S943" s="3"/>
      <c r="T943" s="3"/>
      <c r="AI943" s="3"/>
      <c r="AJ943" s="3"/>
      <c r="AK943" s="3"/>
      <c r="AL943" s="3"/>
      <c r="AM943" s="3"/>
      <c r="AN943" s="3"/>
    </row>
    <row r="944" spans="3:40">
      <c r="C944" s="3"/>
      <c r="D944" s="3"/>
      <c r="E944" s="3"/>
      <c r="S944" s="3"/>
      <c r="T944" s="3"/>
      <c r="AI944" s="3"/>
      <c r="AJ944" s="3"/>
      <c r="AK944" s="3"/>
      <c r="AL944" s="3"/>
      <c r="AM944" s="3"/>
      <c r="AN944" s="3"/>
    </row>
    <row r="945" spans="3:40">
      <c r="C945" s="3"/>
      <c r="D945" s="3"/>
      <c r="E945" s="3"/>
      <c r="S945" s="3"/>
      <c r="T945" s="3"/>
      <c r="AI945" s="3"/>
      <c r="AJ945" s="3"/>
      <c r="AK945" s="3"/>
      <c r="AL945" s="3"/>
      <c r="AM945" s="3"/>
      <c r="AN945" s="3"/>
    </row>
    <row r="946" spans="3:40">
      <c r="C946" s="3"/>
      <c r="D946" s="3"/>
      <c r="E946" s="3"/>
      <c r="S946" s="3"/>
      <c r="T946" s="3"/>
      <c r="AI946" s="3"/>
      <c r="AJ946" s="3"/>
      <c r="AK946" s="3"/>
      <c r="AL946" s="3"/>
      <c r="AM946" s="3"/>
      <c r="AN946" s="3"/>
    </row>
    <row r="947" spans="3:40">
      <c r="C947" s="3"/>
      <c r="D947" s="3"/>
      <c r="E947" s="3"/>
      <c r="S947" s="3"/>
      <c r="T947" s="3"/>
      <c r="AI947" s="3"/>
      <c r="AJ947" s="3"/>
      <c r="AK947" s="3"/>
      <c r="AL947" s="3"/>
      <c r="AM947" s="3"/>
      <c r="AN947" s="3"/>
    </row>
    <row r="948" spans="3:40">
      <c r="C948" s="3"/>
      <c r="D948" s="3"/>
      <c r="E948" s="3"/>
      <c r="S948" s="3"/>
      <c r="T948" s="3"/>
      <c r="AI948" s="3"/>
      <c r="AJ948" s="3"/>
      <c r="AK948" s="3"/>
      <c r="AL948" s="3"/>
      <c r="AM948" s="3"/>
      <c r="AN948" s="3"/>
    </row>
    <row r="949" spans="3:40">
      <c r="C949" s="3"/>
      <c r="D949" s="3"/>
      <c r="E949" s="3"/>
      <c r="S949" s="3"/>
      <c r="T949" s="3"/>
      <c r="AI949" s="3"/>
      <c r="AJ949" s="3"/>
      <c r="AK949" s="3"/>
      <c r="AL949" s="3"/>
      <c r="AM949" s="3"/>
      <c r="AN949" s="3"/>
    </row>
    <row r="950" spans="3:40">
      <c r="C950" s="3"/>
      <c r="D950" s="3"/>
      <c r="E950" s="3"/>
      <c r="S950" s="3"/>
      <c r="T950" s="3"/>
      <c r="AI950" s="3"/>
      <c r="AJ950" s="3"/>
      <c r="AK950" s="3"/>
      <c r="AL950" s="3"/>
      <c r="AM950" s="3"/>
      <c r="AN950" s="3"/>
    </row>
    <row r="951" spans="3:40">
      <c r="C951" s="3"/>
      <c r="D951" s="3"/>
      <c r="E951" s="3"/>
      <c r="S951" s="3"/>
      <c r="T951" s="3"/>
      <c r="AI951" s="3"/>
      <c r="AJ951" s="3"/>
      <c r="AK951" s="3"/>
      <c r="AL951" s="3"/>
      <c r="AM951" s="3"/>
      <c r="AN951" s="3"/>
    </row>
    <row r="952" spans="3:40">
      <c r="C952" s="3"/>
      <c r="D952" s="3"/>
      <c r="E952" s="3"/>
      <c r="S952" s="3"/>
      <c r="T952" s="3"/>
      <c r="AI952" s="3"/>
      <c r="AJ952" s="3"/>
      <c r="AK952" s="3"/>
      <c r="AL952" s="3"/>
      <c r="AM952" s="3"/>
      <c r="AN952" s="3"/>
    </row>
    <row r="953" spans="3:40">
      <c r="C953" s="3"/>
      <c r="D953" s="3"/>
      <c r="E953" s="3"/>
      <c r="S953" s="3"/>
      <c r="T953" s="3"/>
      <c r="AI953" s="3"/>
      <c r="AJ953" s="3"/>
      <c r="AK953" s="3"/>
      <c r="AL953" s="3"/>
      <c r="AM953" s="3"/>
      <c r="AN953" s="3"/>
    </row>
    <row r="954" spans="3:40">
      <c r="C954" s="3"/>
      <c r="D954" s="3"/>
      <c r="E954" s="3"/>
      <c r="S954" s="3"/>
      <c r="T954" s="3"/>
      <c r="AI954" s="3"/>
      <c r="AJ954" s="3"/>
      <c r="AK954" s="3"/>
      <c r="AL954" s="3"/>
      <c r="AM954" s="3"/>
      <c r="AN954" s="3"/>
    </row>
    <row r="955" spans="3:40">
      <c r="C955" s="3"/>
      <c r="D955" s="3"/>
      <c r="E955" s="3"/>
      <c r="S955" s="3"/>
      <c r="T955" s="3"/>
      <c r="AI955" s="3"/>
      <c r="AJ955" s="3"/>
      <c r="AK955" s="3"/>
      <c r="AL955" s="3"/>
      <c r="AM955" s="3"/>
      <c r="AN955" s="3"/>
    </row>
    <row r="956" spans="3:40">
      <c r="C956" s="3"/>
      <c r="D956" s="3"/>
      <c r="E956" s="3"/>
      <c r="S956" s="3"/>
      <c r="T956" s="3"/>
      <c r="AI956" s="3"/>
      <c r="AJ956" s="3"/>
      <c r="AK956" s="3"/>
      <c r="AL956" s="3"/>
      <c r="AM956" s="3"/>
      <c r="AN956" s="3"/>
    </row>
    <row r="957" spans="3:40">
      <c r="C957" s="3"/>
      <c r="D957" s="3"/>
      <c r="E957" s="3"/>
      <c r="S957" s="3"/>
      <c r="T957" s="3"/>
      <c r="AI957" s="3"/>
      <c r="AJ957" s="3"/>
      <c r="AK957" s="3"/>
      <c r="AL957" s="3"/>
      <c r="AM957" s="3"/>
      <c r="AN957" s="3"/>
    </row>
    <row r="958" spans="3:40">
      <c r="C958" s="3"/>
      <c r="D958" s="3"/>
      <c r="E958" s="3"/>
      <c r="S958" s="3"/>
      <c r="T958" s="3"/>
      <c r="AI958" s="3"/>
      <c r="AJ958" s="3"/>
      <c r="AK958" s="3"/>
      <c r="AL958" s="3"/>
      <c r="AM958" s="3"/>
      <c r="AN958" s="3"/>
    </row>
    <row r="959" spans="3:40">
      <c r="C959" s="3"/>
      <c r="D959" s="3"/>
      <c r="E959" s="3"/>
      <c r="S959" s="3"/>
      <c r="T959" s="3"/>
      <c r="AI959" s="3"/>
      <c r="AJ959" s="3"/>
      <c r="AK959" s="3"/>
      <c r="AL959" s="3"/>
      <c r="AM959" s="3"/>
      <c r="AN959" s="3"/>
    </row>
    <row r="960" spans="3:40">
      <c r="C960" s="3"/>
      <c r="D960" s="3"/>
      <c r="E960" s="3"/>
      <c r="S960" s="3"/>
      <c r="T960" s="3"/>
      <c r="AI960" s="3"/>
      <c r="AJ960" s="3"/>
      <c r="AK960" s="3"/>
      <c r="AL960" s="3"/>
      <c r="AM960" s="3"/>
      <c r="AN960" s="3"/>
    </row>
    <row r="961" spans="3:40">
      <c r="C961" s="3"/>
      <c r="D961" s="3"/>
      <c r="E961" s="3"/>
      <c r="S961" s="3"/>
      <c r="T961" s="3"/>
      <c r="AI961" s="3"/>
      <c r="AJ961" s="3"/>
      <c r="AK961" s="3"/>
      <c r="AL961" s="3"/>
      <c r="AM961" s="3"/>
      <c r="AN961" s="3"/>
    </row>
    <row r="962" spans="3:40">
      <c r="C962" s="3"/>
      <c r="D962" s="3"/>
      <c r="E962" s="3"/>
      <c r="S962" s="3"/>
      <c r="T962" s="3"/>
      <c r="AI962" s="3"/>
      <c r="AJ962" s="3"/>
      <c r="AK962" s="3"/>
      <c r="AL962" s="3"/>
      <c r="AM962" s="3"/>
      <c r="AN962" s="3"/>
    </row>
    <row r="963" spans="3:40">
      <c r="C963" s="3"/>
      <c r="D963" s="3"/>
      <c r="E963" s="3"/>
      <c r="S963" s="3"/>
      <c r="T963" s="3"/>
      <c r="AI963" s="3"/>
      <c r="AJ963" s="3"/>
      <c r="AK963" s="3"/>
      <c r="AL963" s="3"/>
      <c r="AM963" s="3"/>
      <c r="AN963" s="3"/>
    </row>
    <row r="964" spans="3:40">
      <c r="C964" s="3"/>
      <c r="D964" s="3"/>
      <c r="E964" s="3"/>
      <c r="S964" s="3"/>
      <c r="T964" s="3"/>
      <c r="AI964" s="3"/>
      <c r="AJ964" s="3"/>
      <c r="AK964" s="3"/>
      <c r="AL964" s="3"/>
      <c r="AM964" s="3"/>
      <c r="AN964" s="3"/>
    </row>
    <row r="965" spans="3:40">
      <c r="C965" s="3"/>
      <c r="D965" s="3"/>
      <c r="E965" s="3"/>
      <c r="S965" s="3"/>
      <c r="T965" s="3"/>
      <c r="AI965" s="3"/>
      <c r="AJ965" s="3"/>
      <c r="AK965" s="3"/>
      <c r="AL965" s="3"/>
      <c r="AM965" s="3"/>
      <c r="AN965" s="3"/>
    </row>
    <row r="966" spans="3:40">
      <c r="C966" s="3"/>
      <c r="D966" s="3"/>
      <c r="E966" s="3"/>
      <c r="S966" s="3"/>
      <c r="T966" s="3"/>
      <c r="AI966" s="3"/>
      <c r="AJ966" s="3"/>
      <c r="AK966" s="3"/>
      <c r="AL966" s="3"/>
      <c r="AM966" s="3"/>
      <c r="AN966" s="3"/>
    </row>
    <row r="967" spans="3:40">
      <c r="C967" s="3"/>
      <c r="D967" s="3"/>
      <c r="E967" s="3"/>
      <c r="S967" s="3"/>
      <c r="T967" s="3"/>
      <c r="AI967" s="3"/>
      <c r="AJ967" s="3"/>
      <c r="AK967" s="3"/>
      <c r="AL967" s="3"/>
      <c r="AM967" s="3"/>
      <c r="AN967" s="3"/>
    </row>
    <row r="968" spans="3:40">
      <c r="C968" s="3"/>
      <c r="D968" s="3"/>
      <c r="E968" s="3"/>
      <c r="S968" s="3"/>
      <c r="T968" s="3"/>
      <c r="AI968" s="3"/>
      <c r="AJ968" s="3"/>
      <c r="AK968" s="3"/>
      <c r="AL968" s="3"/>
      <c r="AM968" s="3"/>
      <c r="AN968" s="3"/>
    </row>
    <row r="969" spans="3:40">
      <c r="C969" s="3"/>
      <c r="D969" s="3"/>
      <c r="E969" s="3"/>
      <c r="S969" s="3"/>
      <c r="T969" s="3"/>
      <c r="AI969" s="3"/>
      <c r="AJ969" s="3"/>
      <c r="AK969" s="3"/>
      <c r="AL969" s="3"/>
      <c r="AM969" s="3"/>
      <c r="AN969" s="3"/>
    </row>
    <row r="970" spans="3:40">
      <c r="C970" s="3"/>
      <c r="D970" s="3"/>
      <c r="E970" s="3"/>
      <c r="S970" s="3"/>
      <c r="T970" s="3"/>
      <c r="AI970" s="3"/>
      <c r="AJ970" s="3"/>
      <c r="AK970" s="3"/>
      <c r="AL970" s="3"/>
      <c r="AM970" s="3"/>
      <c r="AN970" s="3"/>
    </row>
    <row r="971" spans="3:40">
      <c r="C971" s="3"/>
      <c r="D971" s="3"/>
      <c r="E971" s="3"/>
      <c r="S971" s="3"/>
      <c r="T971" s="3"/>
      <c r="AI971" s="3"/>
      <c r="AJ971" s="3"/>
      <c r="AK971" s="3"/>
      <c r="AL971" s="3"/>
      <c r="AM971" s="3"/>
      <c r="AN971" s="3"/>
    </row>
    <row r="972" spans="3:40">
      <c r="C972" s="3"/>
      <c r="D972" s="3"/>
      <c r="E972" s="3"/>
      <c r="S972" s="3"/>
      <c r="T972" s="3"/>
      <c r="AI972" s="3"/>
      <c r="AJ972" s="3"/>
      <c r="AK972" s="3"/>
      <c r="AL972" s="3"/>
      <c r="AM972" s="3"/>
      <c r="AN972" s="3"/>
    </row>
    <row r="973" spans="3:40">
      <c r="C973" s="3"/>
      <c r="D973" s="3"/>
      <c r="E973" s="3"/>
      <c r="S973" s="3"/>
      <c r="T973" s="3"/>
      <c r="AI973" s="3"/>
      <c r="AJ973" s="3"/>
      <c r="AK973" s="3"/>
      <c r="AL973" s="3"/>
      <c r="AM973" s="3"/>
      <c r="AN973" s="3"/>
    </row>
    <row r="974" spans="3:40">
      <c r="C974" s="3"/>
      <c r="D974" s="3"/>
      <c r="E974" s="3"/>
      <c r="S974" s="3"/>
      <c r="T974" s="3"/>
      <c r="AI974" s="3"/>
      <c r="AJ974" s="3"/>
      <c r="AK974" s="3"/>
      <c r="AL974" s="3"/>
      <c r="AM974" s="3"/>
      <c r="AN974" s="3"/>
    </row>
    <row r="975" spans="3:40">
      <c r="C975" s="3"/>
      <c r="D975" s="3"/>
      <c r="E975" s="3"/>
      <c r="S975" s="3"/>
      <c r="T975" s="3"/>
      <c r="AI975" s="3"/>
      <c r="AJ975" s="3"/>
      <c r="AK975" s="3"/>
      <c r="AL975" s="3"/>
      <c r="AM975" s="3"/>
      <c r="AN975" s="3"/>
    </row>
    <row r="976" spans="3:40">
      <c r="C976" s="3"/>
      <c r="D976" s="3"/>
      <c r="E976" s="3"/>
      <c r="S976" s="3"/>
      <c r="T976" s="3"/>
      <c r="AI976" s="3"/>
      <c r="AJ976" s="3"/>
      <c r="AK976" s="3"/>
      <c r="AL976" s="3"/>
      <c r="AM976" s="3"/>
      <c r="AN976" s="3"/>
    </row>
    <row r="977" spans="3:40">
      <c r="C977" s="3"/>
      <c r="D977" s="3"/>
      <c r="E977" s="3"/>
      <c r="S977" s="3"/>
      <c r="T977" s="3"/>
      <c r="AI977" s="3"/>
      <c r="AJ977" s="3"/>
      <c r="AK977" s="3"/>
      <c r="AL977" s="3"/>
      <c r="AM977" s="3"/>
      <c r="AN977" s="3"/>
    </row>
    <row r="978" spans="3:40">
      <c r="C978" s="3"/>
      <c r="D978" s="3"/>
      <c r="E978" s="3"/>
      <c r="S978" s="3"/>
      <c r="T978" s="3"/>
      <c r="AI978" s="3"/>
      <c r="AJ978" s="3"/>
      <c r="AK978" s="3"/>
      <c r="AL978" s="3"/>
      <c r="AM978" s="3"/>
      <c r="AN978" s="3"/>
    </row>
    <row r="979" spans="3:40">
      <c r="C979" s="3"/>
      <c r="D979" s="3"/>
      <c r="E979" s="3"/>
      <c r="S979" s="3"/>
      <c r="T979" s="3"/>
      <c r="AI979" s="3"/>
      <c r="AJ979" s="3"/>
      <c r="AK979" s="3"/>
      <c r="AL979" s="3"/>
      <c r="AM979" s="3"/>
      <c r="AN979" s="3"/>
    </row>
    <row r="980" spans="3:40">
      <c r="C980" s="3"/>
      <c r="D980" s="3"/>
      <c r="E980" s="3"/>
      <c r="S980" s="3"/>
      <c r="T980" s="3"/>
      <c r="AI980" s="3"/>
      <c r="AJ980" s="3"/>
      <c r="AK980" s="3"/>
      <c r="AL980" s="3"/>
      <c r="AM980" s="3"/>
      <c r="AN980" s="3"/>
    </row>
    <row r="981" spans="3:40">
      <c r="C981" s="3"/>
      <c r="D981" s="3"/>
      <c r="E981" s="3"/>
      <c r="S981" s="3"/>
      <c r="T981" s="3"/>
      <c r="AI981" s="3"/>
      <c r="AJ981" s="3"/>
      <c r="AK981" s="3"/>
      <c r="AL981" s="3"/>
      <c r="AM981" s="3"/>
      <c r="AN981" s="3"/>
    </row>
    <row r="982" spans="3:40">
      <c r="C982" s="3"/>
      <c r="D982" s="3"/>
      <c r="E982" s="3"/>
      <c r="S982" s="3"/>
      <c r="T982" s="3"/>
      <c r="AI982" s="3"/>
      <c r="AJ982" s="3"/>
      <c r="AK982" s="3"/>
      <c r="AL982" s="3"/>
      <c r="AM982" s="3"/>
      <c r="AN982" s="3"/>
    </row>
    <row r="983" spans="3:40">
      <c r="C983" s="3"/>
      <c r="D983" s="3"/>
      <c r="E983" s="3"/>
      <c r="S983" s="3"/>
      <c r="T983" s="3"/>
      <c r="AI983" s="3"/>
      <c r="AJ983" s="3"/>
      <c r="AK983" s="3"/>
      <c r="AL983" s="3"/>
      <c r="AM983" s="3"/>
      <c r="AN983" s="3"/>
    </row>
    <row r="984" spans="3:40">
      <c r="C984" s="3"/>
      <c r="D984" s="3"/>
      <c r="E984" s="3"/>
      <c r="S984" s="3"/>
      <c r="T984" s="3"/>
      <c r="AI984" s="3"/>
      <c r="AJ984" s="3"/>
      <c r="AK984" s="3"/>
      <c r="AL984" s="3"/>
      <c r="AM984" s="3"/>
      <c r="AN984" s="3"/>
    </row>
    <row r="985" spans="3:40">
      <c r="C985" s="3"/>
      <c r="D985" s="3"/>
      <c r="E985" s="3"/>
      <c r="S985" s="3"/>
      <c r="T985" s="3"/>
      <c r="AI985" s="3"/>
      <c r="AJ985" s="3"/>
      <c r="AK985" s="3"/>
      <c r="AL985" s="3"/>
      <c r="AM985" s="3"/>
      <c r="AN985" s="3"/>
    </row>
    <row r="986" spans="3:40">
      <c r="C986" s="3"/>
      <c r="D986" s="3"/>
      <c r="E986" s="3"/>
      <c r="S986" s="3"/>
      <c r="T986" s="3"/>
      <c r="AI986" s="3"/>
      <c r="AJ986" s="3"/>
      <c r="AK986" s="3"/>
      <c r="AL986" s="3"/>
      <c r="AM986" s="3"/>
      <c r="AN986" s="3"/>
    </row>
    <row r="987" spans="3:40">
      <c r="C987" s="3"/>
      <c r="D987" s="3"/>
      <c r="E987" s="3"/>
      <c r="S987" s="3"/>
      <c r="T987" s="3"/>
      <c r="AI987" s="3"/>
      <c r="AJ987" s="3"/>
      <c r="AK987" s="3"/>
      <c r="AL987" s="3"/>
      <c r="AM987" s="3"/>
      <c r="AN987" s="3"/>
    </row>
    <row r="988" spans="3:40">
      <c r="C988" s="3"/>
      <c r="D988" s="3"/>
      <c r="E988" s="3"/>
      <c r="S988" s="3"/>
      <c r="T988" s="3"/>
      <c r="AI988" s="3"/>
      <c r="AJ988" s="3"/>
      <c r="AK988" s="3"/>
      <c r="AL988" s="3"/>
      <c r="AM988" s="3"/>
      <c r="AN988" s="3"/>
    </row>
    <row r="989" spans="3:40">
      <c r="C989" s="3"/>
      <c r="D989" s="3"/>
      <c r="E989" s="3"/>
      <c r="S989" s="3"/>
      <c r="T989" s="3"/>
      <c r="AI989" s="3"/>
      <c r="AJ989" s="3"/>
      <c r="AK989" s="3"/>
      <c r="AL989" s="3"/>
      <c r="AM989" s="3"/>
      <c r="AN989" s="3"/>
    </row>
    <row r="990" spans="3:40">
      <c r="C990" s="3"/>
      <c r="D990" s="3"/>
      <c r="E990" s="3"/>
      <c r="S990" s="3"/>
      <c r="T990" s="3"/>
      <c r="AI990" s="3"/>
      <c r="AJ990" s="3"/>
      <c r="AK990" s="3"/>
      <c r="AL990" s="3"/>
      <c r="AM990" s="3"/>
      <c r="AN990" s="3"/>
    </row>
    <row r="991" spans="3:40">
      <c r="C991" s="3"/>
      <c r="D991" s="3"/>
      <c r="E991" s="3"/>
      <c r="S991" s="3"/>
      <c r="T991" s="3"/>
      <c r="AI991" s="3"/>
      <c r="AJ991" s="3"/>
      <c r="AK991" s="3"/>
      <c r="AL991" s="3"/>
      <c r="AM991" s="3"/>
      <c r="AN991" s="3"/>
    </row>
    <row r="992" spans="3:40">
      <c r="C992" s="3"/>
      <c r="D992" s="3"/>
      <c r="E992" s="3"/>
      <c r="S992" s="3"/>
      <c r="T992" s="3"/>
      <c r="AI992" s="3"/>
      <c r="AJ992" s="3"/>
      <c r="AK992" s="3"/>
      <c r="AL992" s="3"/>
      <c r="AM992" s="3"/>
      <c r="AN992" s="3"/>
    </row>
    <row r="993" spans="3:40">
      <c r="C993" s="3"/>
      <c r="D993" s="3"/>
      <c r="E993" s="3"/>
      <c r="S993" s="3"/>
      <c r="T993" s="3"/>
      <c r="AI993" s="3"/>
      <c r="AJ993" s="3"/>
      <c r="AK993" s="3"/>
      <c r="AL993" s="3"/>
      <c r="AM993" s="3"/>
      <c r="AN993" s="3"/>
    </row>
    <row r="994" spans="3:40">
      <c r="C994" s="3"/>
      <c r="D994" s="3"/>
      <c r="E994" s="3"/>
      <c r="S994" s="3"/>
      <c r="T994" s="3"/>
      <c r="AI994" s="3"/>
      <c r="AJ994" s="3"/>
      <c r="AK994" s="3"/>
      <c r="AL994" s="3"/>
      <c r="AM994" s="3"/>
      <c r="AN994" s="3"/>
    </row>
    <row r="995" spans="3:40">
      <c r="C995" s="3"/>
      <c r="D995" s="3"/>
      <c r="E995" s="3"/>
      <c r="S995" s="3"/>
      <c r="T995" s="3"/>
      <c r="AI995" s="3"/>
      <c r="AJ995" s="3"/>
      <c r="AK995" s="3"/>
      <c r="AL995" s="3"/>
      <c r="AM995" s="3"/>
      <c r="AN995" s="3"/>
    </row>
    <row r="996" spans="3:40">
      <c r="C996" s="3"/>
      <c r="D996" s="3"/>
      <c r="E996" s="3"/>
      <c r="S996" s="3"/>
      <c r="T996" s="3"/>
      <c r="AI996" s="3"/>
      <c r="AJ996" s="3"/>
      <c r="AK996" s="3"/>
      <c r="AL996" s="3"/>
      <c r="AM996" s="3"/>
      <c r="AN996" s="3"/>
    </row>
    <row r="997" spans="3:40">
      <c r="C997" s="3"/>
      <c r="D997" s="3"/>
      <c r="E997" s="3"/>
      <c r="S997" s="3"/>
      <c r="T997" s="3"/>
      <c r="AI997" s="3"/>
      <c r="AJ997" s="3"/>
      <c r="AK997" s="3"/>
      <c r="AL997" s="3"/>
      <c r="AM997" s="3"/>
      <c r="AN997" s="3"/>
    </row>
    <row r="998" spans="3:40">
      <c r="C998" s="3"/>
      <c r="D998" s="3"/>
      <c r="E998" s="3"/>
      <c r="S998" s="3"/>
      <c r="T998" s="3"/>
      <c r="AI998" s="3"/>
      <c r="AJ998" s="3"/>
      <c r="AK998" s="3"/>
      <c r="AL998" s="3"/>
      <c r="AM998" s="3"/>
      <c r="AN998" s="3"/>
    </row>
    <row r="999" spans="3:40">
      <c r="C999" s="3"/>
      <c r="D999" s="3"/>
      <c r="E999" s="3"/>
      <c r="S999" s="3"/>
      <c r="T999" s="3"/>
      <c r="AI999" s="3"/>
      <c r="AJ999" s="3"/>
      <c r="AK999" s="3"/>
      <c r="AL999" s="3"/>
      <c r="AM999" s="3"/>
      <c r="AN999" s="3"/>
    </row>
    <row r="1000" spans="3:40">
      <c r="C1000" s="3"/>
      <c r="D1000" s="3"/>
      <c r="E1000" s="3"/>
      <c r="S1000" s="3"/>
      <c r="T1000" s="3"/>
      <c r="AI1000" s="3"/>
      <c r="AJ1000" s="3"/>
      <c r="AK1000" s="3"/>
      <c r="AL1000" s="3"/>
      <c r="AM1000" s="3"/>
      <c r="AN1000" s="3"/>
    </row>
    <row r="1001" spans="3:40">
      <c r="C1001" s="3"/>
      <c r="D1001" s="3"/>
      <c r="E1001" s="3"/>
      <c r="S1001" s="3"/>
      <c r="T1001" s="3"/>
      <c r="AI1001" s="3"/>
      <c r="AJ1001" s="3"/>
      <c r="AK1001" s="3"/>
      <c r="AL1001" s="3"/>
      <c r="AM1001" s="3"/>
      <c r="AN1001" s="3"/>
    </row>
    <row r="1002" spans="3:40">
      <c r="C1002" s="3"/>
      <c r="D1002" s="3"/>
      <c r="E1002" s="3"/>
      <c r="S1002" s="3"/>
      <c r="T1002" s="3"/>
      <c r="AI1002" s="3"/>
      <c r="AJ1002" s="3"/>
      <c r="AK1002" s="3"/>
      <c r="AL1002" s="3"/>
      <c r="AM1002" s="3"/>
      <c r="AN1002" s="3"/>
    </row>
    <row r="1003" spans="3:40">
      <c r="C1003" s="3"/>
      <c r="D1003" s="3"/>
      <c r="E1003" s="3"/>
      <c r="S1003" s="3"/>
      <c r="T1003" s="3"/>
      <c r="AI1003" s="3"/>
      <c r="AJ1003" s="3"/>
      <c r="AK1003" s="3"/>
      <c r="AL1003" s="3"/>
      <c r="AM1003" s="3"/>
      <c r="AN1003" s="3"/>
    </row>
    <row r="1004" spans="3:40">
      <c r="C1004" s="3"/>
      <c r="D1004" s="3"/>
      <c r="E1004" s="3"/>
      <c r="S1004" s="3"/>
      <c r="T1004" s="3"/>
      <c r="AI1004" s="3"/>
      <c r="AJ1004" s="3"/>
      <c r="AK1004" s="3"/>
      <c r="AL1004" s="3"/>
      <c r="AM1004" s="3"/>
      <c r="AN1004" s="3"/>
    </row>
    <row r="1005" spans="3:40">
      <c r="C1005" s="3"/>
      <c r="D1005" s="3"/>
      <c r="E1005" s="3"/>
      <c r="S1005" s="3"/>
      <c r="T1005" s="3"/>
      <c r="AI1005" s="3"/>
      <c r="AJ1005" s="3"/>
      <c r="AK1005" s="3"/>
      <c r="AL1005" s="3"/>
      <c r="AM1005" s="3"/>
      <c r="AN1005" s="3"/>
    </row>
    <row r="1006" spans="3:40">
      <c r="C1006" s="3"/>
      <c r="D1006" s="3"/>
      <c r="E1006" s="3"/>
      <c r="S1006" s="3"/>
      <c r="T1006" s="3"/>
      <c r="AI1006" s="3"/>
      <c r="AJ1006" s="3"/>
      <c r="AK1006" s="3"/>
      <c r="AL1006" s="3"/>
      <c r="AM1006" s="3"/>
      <c r="AN1006" s="3"/>
    </row>
    <row r="1007" spans="3:40">
      <c r="C1007" s="3"/>
      <c r="D1007" s="3"/>
      <c r="E1007" s="3"/>
      <c r="S1007" s="3"/>
      <c r="T1007" s="3"/>
      <c r="AI1007" s="3"/>
      <c r="AJ1007" s="3"/>
      <c r="AK1007" s="3"/>
      <c r="AL1007" s="3"/>
      <c r="AM1007" s="3"/>
      <c r="AN1007" s="3"/>
    </row>
    <row r="1008" spans="3:40">
      <c r="C1008" s="3"/>
      <c r="D1008" s="3"/>
      <c r="E1008" s="3"/>
      <c r="S1008" s="3"/>
      <c r="T1008" s="3"/>
      <c r="AI1008" s="3"/>
      <c r="AJ1008" s="3"/>
      <c r="AK1008" s="3"/>
      <c r="AL1008" s="3"/>
      <c r="AM1008" s="3"/>
      <c r="AN1008" s="3"/>
    </row>
    <row r="1009" spans="3:40">
      <c r="C1009" s="3"/>
      <c r="D1009" s="3"/>
      <c r="E1009" s="3"/>
      <c r="S1009" s="3"/>
      <c r="T1009" s="3"/>
      <c r="AI1009" s="3"/>
      <c r="AJ1009" s="3"/>
      <c r="AK1009" s="3"/>
      <c r="AL1009" s="3"/>
      <c r="AM1009" s="3"/>
      <c r="AN1009" s="3"/>
    </row>
    <row r="1010" spans="3:40">
      <c r="C1010" s="3"/>
      <c r="D1010" s="3"/>
      <c r="E1010" s="3"/>
      <c r="S1010" s="3"/>
      <c r="T1010" s="3"/>
      <c r="AI1010" s="3"/>
      <c r="AJ1010" s="3"/>
      <c r="AK1010" s="3"/>
      <c r="AL1010" s="3"/>
      <c r="AM1010" s="3"/>
      <c r="AN1010" s="3"/>
    </row>
    <row r="1011" spans="3:40">
      <c r="C1011" s="3"/>
      <c r="D1011" s="3"/>
      <c r="E1011" s="3"/>
      <c r="S1011" s="3"/>
      <c r="T1011" s="3"/>
      <c r="AI1011" s="3"/>
      <c r="AJ1011" s="3"/>
      <c r="AK1011" s="3"/>
      <c r="AL1011" s="3"/>
      <c r="AM1011" s="3"/>
      <c r="AN1011" s="3"/>
    </row>
    <row r="1012" spans="3:40">
      <c r="C1012" s="3"/>
      <c r="D1012" s="3"/>
      <c r="E1012" s="3"/>
      <c r="S1012" s="3"/>
      <c r="T1012" s="3"/>
      <c r="AI1012" s="3"/>
      <c r="AJ1012" s="3"/>
      <c r="AK1012" s="3"/>
      <c r="AL1012" s="3"/>
      <c r="AM1012" s="3"/>
      <c r="AN1012" s="3"/>
    </row>
    <row r="1013" spans="3:40">
      <c r="C1013" s="3"/>
      <c r="D1013" s="3"/>
      <c r="E1013" s="3"/>
      <c r="S1013" s="3"/>
      <c r="T1013" s="3"/>
      <c r="AI1013" s="3"/>
      <c r="AJ1013" s="3"/>
      <c r="AK1013" s="3"/>
      <c r="AL1013" s="3"/>
      <c r="AM1013" s="3"/>
      <c r="AN1013" s="3"/>
    </row>
    <row r="1014" spans="3:40">
      <c r="C1014" s="3"/>
      <c r="D1014" s="3"/>
      <c r="E1014" s="3"/>
      <c r="S1014" s="3"/>
      <c r="T1014" s="3"/>
      <c r="AI1014" s="3"/>
      <c r="AJ1014" s="3"/>
      <c r="AK1014" s="3"/>
      <c r="AL1014" s="3"/>
      <c r="AM1014" s="3"/>
      <c r="AN1014" s="3"/>
    </row>
    <row r="1015" spans="3:40">
      <c r="C1015" s="3"/>
      <c r="D1015" s="3"/>
      <c r="E1015" s="3"/>
      <c r="S1015" s="3"/>
      <c r="T1015" s="3"/>
      <c r="AI1015" s="3"/>
      <c r="AJ1015" s="3"/>
      <c r="AK1015" s="3"/>
      <c r="AL1015" s="3"/>
      <c r="AM1015" s="3"/>
      <c r="AN1015" s="3"/>
    </row>
    <row r="1016" spans="3:40">
      <c r="C1016" s="3"/>
      <c r="D1016" s="3"/>
      <c r="E1016" s="3"/>
      <c r="S1016" s="3"/>
      <c r="T1016" s="3"/>
      <c r="AI1016" s="3"/>
      <c r="AJ1016" s="3"/>
      <c r="AK1016" s="3"/>
      <c r="AL1016" s="3"/>
      <c r="AM1016" s="3"/>
      <c r="AN1016" s="3"/>
    </row>
    <row r="1017" spans="3:40">
      <c r="C1017" s="3"/>
      <c r="D1017" s="3"/>
      <c r="E1017" s="3"/>
      <c r="S1017" s="3"/>
      <c r="T1017" s="3"/>
      <c r="AI1017" s="3"/>
      <c r="AJ1017" s="3"/>
      <c r="AK1017" s="3"/>
      <c r="AL1017" s="3"/>
      <c r="AM1017" s="3"/>
      <c r="AN1017" s="3"/>
    </row>
    <row r="1018" spans="3:40">
      <c r="C1018" s="3"/>
      <c r="D1018" s="3"/>
      <c r="E1018" s="3"/>
      <c r="S1018" s="3"/>
      <c r="T1018" s="3"/>
      <c r="AI1018" s="3"/>
      <c r="AJ1018" s="3"/>
      <c r="AK1018" s="3"/>
      <c r="AL1018" s="3"/>
      <c r="AM1018" s="3"/>
      <c r="AN1018" s="3"/>
    </row>
    <row r="1019" spans="3:40">
      <c r="C1019" s="3"/>
      <c r="D1019" s="3"/>
      <c r="E1019" s="3"/>
      <c r="S1019" s="3"/>
      <c r="T1019" s="3"/>
      <c r="AI1019" s="3"/>
      <c r="AJ1019" s="3"/>
      <c r="AK1019" s="3"/>
      <c r="AL1019" s="3"/>
      <c r="AM1019" s="3"/>
      <c r="AN1019" s="3"/>
    </row>
    <row r="1020" spans="3:40">
      <c r="C1020" s="3"/>
      <c r="D1020" s="3"/>
      <c r="E1020" s="3"/>
      <c r="S1020" s="3"/>
      <c r="T1020" s="3"/>
      <c r="AI1020" s="3"/>
      <c r="AJ1020" s="3"/>
      <c r="AK1020" s="3"/>
      <c r="AL1020" s="3"/>
      <c r="AM1020" s="3"/>
      <c r="AN1020" s="3"/>
    </row>
    <row r="1021" spans="3:40">
      <c r="C1021" s="3"/>
      <c r="D1021" s="3"/>
      <c r="E1021" s="3"/>
      <c r="S1021" s="3"/>
      <c r="T1021" s="3"/>
      <c r="AI1021" s="3"/>
      <c r="AJ1021" s="3"/>
      <c r="AK1021" s="3"/>
      <c r="AL1021" s="3"/>
      <c r="AM1021" s="3"/>
      <c r="AN1021" s="3"/>
    </row>
    <row r="1022" spans="3:40">
      <c r="C1022" s="3"/>
      <c r="D1022" s="3"/>
      <c r="E1022" s="3"/>
      <c r="S1022" s="3"/>
      <c r="T1022" s="3"/>
      <c r="AI1022" s="3"/>
      <c r="AJ1022" s="3"/>
      <c r="AK1022" s="3"/>
      <c r="AL1022" s="3"/>
      <c r="AM1022" s="3"/>
      <c r="AN1022" s="3"/>
    </row>
    <row r="1023" spans="3:40">
      <c r="C1023" s="3"/>
      <c r="D1023" s="3"/>
      <c r="E1023" s="3"/>
      <c r="S1023" s="3"/>
      <c r="T1023" s="3"/>
      <c r="AI1023" s="3"/>
      <c r="AJ1023" s="3"/>
      <c r="AK1023" s="3"/>
      <c r="AL1023" s="3"/>
      <c r="AM1023" s="3"/>
      <c r="AN1023" s="3"/>
    </row>
    <row r="1024" spans="3:40">
      <c r="C1024" s="3"/>
      <c r="D1024" s="3"/>
      <c r="E1024" s="3"/>
      <c r="S1024" s="3"/>
      <c r="T1024" s="3"/>
      <c r="AI1024" s="3"/>
      <c r="AJ1024" s="3"/>
      <c r="AK1024" s="3"/>
      <c r="AL1024" s="3"/>
      <c r="AM1024" s="3"/>
      <c r="AN1024" s="3"/>
    </row>
    <row r="1025" spans="3:40">
      <c r="C1025" s="3"/>
      <c r="D1025" s="3"/>
      <c r="E1025" s="3"/>
      <c r="S1025" s="3"/>
      <c r="T1025" s="3"/>
      <c r="AI1025" s="3"/>
      <c r="AJ1025" s="3"/>
      <c r="AK1025" s="3"/>
      <c r="AL1025" s="3"/>
      <c r="AM1025" s="3"/>
      <c r="AN1025" s="3"/>
    </row>
    <row r="1026" spans="3:40">
      <c r="C1026" s="3"/>
      <c r="D1026" s="3"/>
      <c r="E1026" s="3"/>
      <c r="S1026" s="3"/>
      <c r="T1026" s="3"/>
      <c r="AI1026" s="3"/>
      <c r="AJ1026" s="3"/>
      <c r="AK1026" s="3"/>
      <c r="AL1026" s="3"/>
      <c r="AM1026" s="3"/>
      <c r="AN1026" s="3"/>
    </row>
    <row r="1027" spans="3:40">
      <c r="C1027" s="3"/>
      <c r="D1027" s="3"/>
      <c r="E1027" s="3"/>
      <c r="S1027" s="3"/>
      <c r="T1027" s="3"/>
      <c r="AI1027" s="3"/>
      <c r="AJ1027" s="3"/>
      <c r="AK1027" s="3"/>
      <c r="AL1027" s="3"/>
      <c r="AM1027" s="3"/>
      <c r="AN1027" s="3"/>
    </row>
    <row r="1028" spans="3:40">
      <c r="C1028" s="3"/>
      <c r="D1028" s="3"/>
      <c r="E1028" s="3"/>
      <c r="S1028" s="3"/>
      <c r="T1028" s="3"/>
      <c r="AI1028" s="3"/>
      <c r="AJ1028" s="3"/>
      <c r="AK1028" s="3"/>
      <c r="AL1028" s="3"/>
      <c r="AM1028" s="3"/>
      <c r="AN1028" s="3"/>
    </row>
    <row r="1029" spans="3:40">
      <c r="C1029" s="3"/>
      <c r="D1029" s="3"/>
      <c r="E1029" s="3"/>
      <c r="S1029" s="3"/>
      <c r="T1029" s="3"/>
      <c r="AI1029" s="3"/>
      <c r="AJ1029" s="3"/>
      <c r="AK1029" s="3"/>
      <c r="AL1029" s="3"/>
      <c r="AM1029" s="3"/>
      <c r="AN1029" s="3"/>
    </row>
    <row r="1030" spans="3:40">
      <c r="C1030" s="3"/>
      <c r="D1030" s="3"/>
      <c r="E1030" s="3"/>
      <c r="S1030" s="3"/>
      <c r="T1030" s="3"/>
      <c r="AI1030" s="3"/>
      <c r="AJ1030" s="3"/>
      <c r="AK1030" s="3"/>
      <c r="AL1030" s="3"/>
      <c r="AM1030" s="3"/>
      <c r="AN1030" s="3"/>
    </row>
    <row r="1031" spans="3:40">
      <c r="C1031" s="3"/>
      <c r="D1031" s="3"/>
      <c r="E1031" s="3"/>
      <c r="S1031" s="3"/>
      <c r="T1031" s="3"/>
      <c r="AI1031" s="3"/>
      <c r="AJ1031" s="3"/>
      <c r="AK1031" s="3"/>
      <c r="AL1031" s="3"/>
      <c r="AM1031" s="3"/>
      <c r="AN1031" s="3"/>
    </row>
    <row r="1032" spans="3:40">
      <c r="C1032" s="3"/>
      <c r="D1032" s="3"/>
      <c r="E1032" s="3"/>
      <c r="S1032" s="3"/>
      <c r="T1032" s="3"/>
      <c r="AI1032" s="3"/>
      <c r="AJ1032" s="3"/>
      <c r="AK1032" s="3"/>
      <c r="AL1032" s="3"/>
      <c r="AM1032" s="3"/>
      <c r="AN1032" s="3"/>
    </row>
    <row r="1033" spans="3:40">
      <c r="C1033" s="3"/>
      <c r="D1033" s="3"/>
      <c r="E1033" s="3"/>
      <c r="S1033" s="3"/>
      <c r="T1033" s="3"/>
      <c r="AI1033" s="3"/>
      <c r="AJ1033" s="3"/>
      <c r="AK1033" s="3"/>
      <c r="AL1033" s="3"/>
      <c r="AM1033" s="3"/>
      <c r="AN1033" s="3"/>
    </row>
    <row r="1034" spans="3:40">
      <c r="C1034" s="3"/>
      <c r="D1034" s="3"/>
      <c r="E1034" s="3"/>
      <c r="S1034" s="3"/>
      <c r="T1034" s="3"/>
      <c r="AI1034" s="3"/>
      <c r="AJ1034" s="3"/>
      <c r="AK1034" s="3"/>
      <c r="AL1034" s="3"/>
      <c r="AM1034" s="3"/>
      <c r="AN1034" s="3"/>
    </row>
    <row r="1035" spans="3:40">
      <c r="C1035" s="3"/>
      <c r="D1035" s="3"/>
      <c r="E1035" s="3"/>
      <c r="S1035" s="3"/>
      <c r="T1035" s="3"/>
      <c r="AI1035" s="3"/>
      <c r="AJ1035" s="3"/>
      <c r="AK1035" s="3"/>
      <c r="AL1035" s="3"/>
      <c r="AM1035" s="3"/>
      <c r="AN1035" s="3"/>
    </row>
    <row r="1036" spans="3:40">
      <c r="C1036" s="3"/>
      <c r="D1036" s="3"/>
      <c r="E1036" s="3"/>
      <c r="S1036" s="3"/>
      <c r="T1036" s="3"/>
      <c r="AI1036" s="3"/>
      <c r="AJ1036" s="3"/>
      <c r="AK1036" s="3"/>
      <c r="AL1036" s="3"/>
      <c r="AM1036" s="3"/>
      <c r="AN1036" s="3"/>
    </row>
    <row r="1037" spans="3:40">
      <c r="C1037" s="3"/>
      <c r="D1037" s="3"/>
      <c r="E1037" s="3"/>
      <c r="S1037" s="3"/>
      <c r="T1037" s="3"/>
      <c r="AI1037" s="3"/>
      <c r="AJ1037" s="3"/>
      <c r="AK1037" s="3"/>
      <c r="AL1037" s="3"/>
      <c r="AM1037" s="3"/>
      <c r="AN1037" s="3"/>
    </row>
    <row r="1038" spans="3:40">
      <c r="C1038" s="3"/>
      <c r="D1038" s="3"/>
      <c r="E1038" s="3"/>
      <c r="S1038" s="3"/>
      <c r="T1038" s="3"/>
      <c r="AI1038" s="3"/>
      <c r="AJ1038" s="3"/>
      <c r="AK1038" s="3"/>
      <c r="AL1038" s="3"/>
      <c r="AM1038" s="3"/>
      <c r="AN1038" s="3"/>
    </row>
    <row r="1039" spans="3:40">
      <c r="C1039" s="3"/>
      <c r="D1039" s="3"/>
      <c r="E1039" s="3"/>
      <c r="S1039" s="3"/>
      <c r="T1039" s="3"/>
      <c r="AI1039" s="3"/>
      <c r="AJ1039" s="3"/>
      <c r="AK1039" s="3"/>
      <c r="AL1039" s="3"/>
      <c r="AM1039" s="3"/>
      <c r="AN1039" s="3"/>
    </row>
    <row r="1040" spans="3:40">
      <c r="C1040" s="3"/>
      <c r="D1040" s="3"/>
      <c r="E1040" s="3"/>
      <c r="S1040" s="3"/>
      <c r="T1040" s="3"/>
      <c r="AI1040" s="3"/>
      <c r="AJ1040" s="3"/>
      <c r="AK1040" s="3"/>
      <c r="AL1040" s="3"/>
      <c r="AM1040" s="3"/>
      <c r="AN1040" s="3"/>
    </row>
    <row r="1041" spans="3:40">
      <c r="C1041" s="3"/>
      <c r="D1041" s="3"/>
      <c r="E1041" s="3"/>
      <c r="S1041" s="3"/>
      <c r="T1041" s="3"/>
      <c r="AI1041" s="3"/>
      <c r="AJ1041" s="3"/>
      <c r="AK1041" s="3"/>
      <c r="AL1041" s="3"/>
      <c r="AM1041" s="3"/>
      <c r="AN1041" s="3"/>
    </row>
    <row r="1042" spans="3:40">
      <c r="C1042" s="3"/>
      <c r="D1042" s="3"/>
      <c r="E1042" s="3"/>
      <c r="S1042" s="3"/>
      <c r="T1042" s="3"/>
      <c r="AI1042" s="3"/>
      <c r="AJ1042" s="3"/>
      <c r="AK1042" s="3"/>
      <c r="AL1042" s="3"/>
      <c r="AM1042" s="3"/>
      <c r="AN1042" s="3"/>
    </row>
    <row r="1043" spans="3:40">
      <c r="C1043" s="3"/>
      <c r="D1043" s="3"/>
      <c r="E1043" s="3"/>
      <c r="S1043" s="3"/>
      <c r="T1043" s="3"/>
      <c r="AI1043" s="3"/>
      <c r="AJ1043" s="3"/>
      <c r="AK1043" s="3"/>
      <c r="AL1043" s="3"/>
      <c r="AM1043" s="3"/>
      <c r="AN1043" s="3"/>
    </row>
    <row r="1044" spans="3:40">
      <c r="C1044" s="3"/>
      <c r="D1044" s="3"/>
      <c r="E1044" s="3"/>
      <c r="S1044" s="3"/>
      <c r="T1044" s="3"/>
      <c r="AI1044" s="3"/>
      <c r="AJ1044" s="3"/>
      <c r="AK1044" s="3"/>
      <c r="AL1044" s="3"/>
      <c r="AM1044" s="3"/>
      <c r="AN1044" s="3"/>
    </row>
    <row r="1045" spans="3:40">
      <c r="C1045" s="3"/>
      <c r="D1045" s="3"/>
      <c r="E1045" s="3"/>
      <c r="S1045" s="3"/>
      <c r="T1045" s="3"/>
      <c r="AI1045" s="3"/>
      <c r="AJ1045" s="3"/>
      <c r="AK1045" s="3"/>
      <c r="AL1045" s="3"/>
      <c r="AM1045" s="3"/>
      <c r="AN1045" s="3"/>
    </row>
    <row r="1046" spans="3:40">
      <c r="C1046" s="3"/>
      <c r="D1046" s="3"/>
      <c r="E1046" s="3"/>
      <c r="S1046" s="3"/>
      <c r="T1046" s="3"/>
      <c r="AI1046" s="3"/>
      <c r="AJ1046" s="3"/>
      <c r="AK1046" s="3"/>
      <c r="AL1046" s="3"/>
      <c r="AM1046" s="3"/>
      <c r="AN1046" s="3"/>
    </row>
    <row r="1047" spans="3:40">
      <c r="C1047" s="3"/>
      <c r="D1047" s="3"/>
      <c r="E1047" s="3"/>
      <c r="S1047" s="3"/>
      <c r="T1047" s="3"/>
      <c r="AI1047" s="3"/>
      <c r="AJ1047" s="3"/>
      <c r="AK1047" s="3"/>
      <c r="AL1047" s="3"/>
      <c r="AM1047" s="3"/>
      <c r="AN1047" s="3"/>
    </row>
    <row r="1048" spans="3:40">
      <c r="C1048" s="3"/>
      <c r="D1048" s="3"/>
      <c r="E1048" s="3"/>
      <c r="S1048" s="3"/>
      <c r="T1048" s="3"/>
      <c r="AI1048" s="3"/>
      <c r="AJ1048" s="3"/>
      <c r="AK1048" s="3"/>
      <c r="AL1048" s="3"/>
      <c r="AM1048" s="3"/>
      <c r="AN1048" s="3"/>
    </row>
    <row r="1049" spans="3:40">
      <c r="C1049" s="3"/>
      <c r="D1049" s="3"/>
      <c r="E1049" s="3"/>
      <c r="S1049" s="3"/>
      <c r="T1049" s="3"/>
      <c r="AI1049" s="3"/>
      <c r="AJ1049" s="3"/>
      <c r="AK1049" s="3"/>
      <c r="AL1049" s="3"/>
      <c r="AM1049" s="3"/>
      <c r="AN1049" s="3"/>
    </row>
    <row r="1050" spans="3:40">
      <c r="C1050" s="3"/>
      <c r="D1050" s="3"/>
      <c r="E1050" s="3"/>
      <c r="S1050" s="3"/>
      <c r="T1050" s="3"/>
      <c r="AI1050" s="3"/>
      <c r="AJ1050" s="3"/>
      <c r="AK1050" s="3"/>
      <c r="AL1050" s="3"/>
      <c r="AM1050" s="3"/>
      <c r="AN1050" s="3"/>
    </row>
    <row r="1051" spans="3:40">
      <c r="C1051" s="3"/>
      <c r="D1051" s="3"/>
      <c r="E1051" s="3"/>
      <c r="S1051" s="3"/>
      <c r="T1051" s="3"/>
      <c r="AI1051" s="3"/>
      <c r="AJ1051" s="3"/>
      <c r="AK1051" s="3"/>
      <c r="AL1051" s="3"/>
      <c r="AM1051" s="3"/>
      <c r="AN1051" s="3"/>
    </row>
    <row r="1052" spans="3:40">
      <c r="C1052" s="3"/>
      <c r="D1052" s="3"/>
      <c r="E1052" s="3"/>
      <c r="S1052" s="3"/>
      <c r="T1052" s="3"/>
      <c r="AI1052" s="3"/>
      <c r="AJ1052" s="3"/>
      <c r="AK1052" s="3"/>
      <c r="AL1052" s="3"/>
      <c r="AM1052" s="3"/>
      <c r="AN1052" s="3"/>
    </row>
    <row r="1053" spans="3:40">
      <c r="C1053" s="3"/>
      <c r="D1053" s="3"/>
      <c r="E1053" s="3"/>
      <c r="S1053" s="3"/>
      <c r="T1053" s="3"/>
      <c r="AI1053" s="3"/>
      <c r="AJ1053" s="3"/>
      <c r="AK1053" s="3"/>
      <c r="AL1053" s="3"/>
      <c r="AM1053" s="3"/>
      <c r="AN1053" s="3"/>
    </row>
    <row r="1054" spans="3:40">
      <c r="C1054" s="3"/>
      <c r="D1054" s="3"/>
      <c r="E1054" s="3"/>
      <c r="S1054" s="3"/>
      <c r="T1054" s="3"/>
      <c r="AI1054" s="3"/>
      <c r="AJ1054" s="3"/>
      <c r="AK1054" s="3"/>
      <c r="AL1054" s="3"/>
      <c r="AM1054" s="3"/>
      <c r="AN1054" s="3"/>
    </row>
    <row r="1055" spans="3:40">
      <c r="C1055" s="3"/>
      <c r="D1055" s="3"/>
      <c r="E1055" s="3"/>
      <c r="S1055" s="3"/>
      <c r="T1055" s="3"/>
      <c r="AI1055" s="3"/>
      <c r="AJ1055" s="3"/>
      <c r="AK1055" s="3"/>
      <c r="AL1055" s="3"/>
      <c r="AM1055" s="3"/>
      <c r="AN1055" s="3"/>
    </row>
    <row r="1056" spans="3:40">
      <c r="C1056" s="3"/>
      <c r="D1056" s="3"/>
      <c r="E1056" s="3"/>
      <c r="S1056" s="3"/>
      <c r="T1056" s="3"/>
      <c r="AI1056" s="3"/>
      <c r="AJ1056" s="3"/>
      <c r="AK1056" s="3"/>
      <c r="AL1056" s="3"/>
      <c r="AM1056" s="3"/>
      <c r="AN1056" s="3"/>
    </row>
    <row r="1057" spans="3:40">
      <c r="C1057" s="3"/>
      <c r="D1057" s="3"/>
      <c r="E1057" s="3"/>
      <c r="S1057" s="3"/>
      <c r="T1057" s="3"/>
      <c r="AI1057" s="3"/>
      <c r="AJ1057" s="3"/>
      <c r="AK1057" s="3"/>
      <c r="AL1057" s="3"/>
      <c r="AM1057" s="3"/>
      <c r="AN1057" s="3"/>
    </row>
    <row r="1058" spans="3:40">
      <c r="C1058" s="3"/>
      <c r="D1058" s="3"/>
      <c r="E1058" s="3"/>
      <c r="S1058" s="3"/>
      <c r="T1058" s="3"/>
      <c r="AI1058" s="3"/>
      <c r="AJ1058" s="3"/>
      <c r="AK1058" s="3"/>
      <c r="AL1058" s="3"/>
      <c r="AM1058" s="3"/>
      <c r="AN1058" s="3"/>
    </row>
    <row r="1059" spans="3:40">
      <c r="C1059" s="3"/>
      <c r="D1059" s="3"/>
      <c r="E1059" s="3"/>
      <c r="S1059" s="3"/>
      <c r="T1059" s="3"/>
      <c r="AI1059" s="3"/>
      <c r="AJ1059" s="3"/>
      <c r="AK1059" s="3"/>
      <c r="AL1059" s="3"/>
      <c r="AM1059" s="3"/>
      <c r="AN1059" s="3"/>
    </row>
    <row r="1060" spans="3:40">
      <c r="C1060" s="3"/>
      <c r="D1060" s="3"/>
      <c r="E1060" s="3"/>
      <c r="S1060" s="3"/>
      <c r="T1060" s="3"/>
      <c r="AI1060" s="3"/>
      <c r="AJ1060" s="3"/>
      <c r="AK1060" s="3"/>
      <c r="AL1060" s="3"/>
      <c r="AM1060" s="3"/>
      <c r="AN1060" s="3"/>
    </row>
    <row r="1061" spans="3:40">
      <c r="C1061" s="3"/>
      <c r="D1061" s="3"/>
      <c r="E1061" s="3"/>
      <c r="S1061" s="3"/>
      <c r="T1061" s="3"/>
      <c r="AI1061" s="3"/>
      <c r="AJ1061" s="3"/>
      <c r="AK1061" s="3"/>
      <c r="AL1061" s="3"/>
      <c r="AM1061" s="3"/>
      <c r="AN1061" s="3"/>
    </row>
    <row r="1062" spans="3:40">
      <c r="C1062" s="3"/>
      <c r="D1062" s="3"/>
      <c r="E1062" s="3"/>
      <c r="S1062" s="3"/>
      <c r="T1062" s="3"/>
      <c r="AI1062" s="3"/>
      <c r="AJ1062" s="3"/>
      <c r="AK1062" s="3"/>
      <c r="AL1062" s="3"/>
      <c r="AM1062" s="3"/>
      <c r="AN1062" s="3"/>
    </row>
    <row r="1063" spans="3:40">
      <c r="C1063" s="3"/>
      <c r="D1063" s="3"/>
      <c r="E1063" s="3"/>
      <c r="S1063" s="3"/>
      <c r="T1063" s="3"/>
      <c r="AI1063" s="3"/>
      <c r="AJ1063" s="3"/>
      <c r="AK1063" s="3"/>
      <c r="AL1063" s="3"/>
      <c r="AM1063" s="3"/>
      <c r="AN1063" s="3"/>
    </row>
    <row r="1064" spans="3:40">
      <c r="C1064" s="3"/>
      <c r="D1064" s="3"/>
      <c r="E1064" s="3"/>
      <c r="S1064" s="3"/>
      <c r="T1064" s="3"/>
      <c r="AI1064" s="3"/>
      <c r="AJ1064" s="3"/>
      <c r="AK1064" s="3"/>
      <c r="AL1064" s="3"/>
      <c r="AM1064" s="3"/>
      <c r="AN1064" s="3"/>
    </row>
    <row r="1065" spans="3:40">
      <c r="C1065" s="3"/>
      <c r="D1065" s="3"/>
      <c r="E1065" s="3"/>
      <c r="S1065" s="3"/>
      <c r="T1065" s="3"/>
      <c r="AI1065" s="3"/>
      <c r="AJ1065" s="3"/>
      <c r="AK1065" s="3"/>
      <c r="AL1065" s="3"/>
      <c r="AM1065" s="3"/>
      <c r="AN1065" s="3"/>
    </row>
    <row r="1066" spans="3:40">
      <c r="C1066" s="3"/>
      <c r="D1066" s="3"/>
      <c r="E1066" s="3"/>
      <c r="S1066" s="3"/>
      <c r="T1066" s="3"/>
      <c r="AI1066" s="3"/>
      <c r="AJ1066" s="3"/>
      <c r="AK1066" s="3"/>
      <c r="AL1066" s="3"/>
      <c r="AM1066" s="3"/>
      <c r="AN1066" s="3"/>
    </row>
    <row r="1067" spans="3:40">
      <c r="C1067" s="3"/>
      <c r="D1067" s="3"/>
      <c r="E1067" s="3"/>
      <c r="S1067" s="3"/>
      <c r="T1067" s="3"/>
      <c r="AI1067" s="3"/>
      <c r="AJ1067" s="3"/>
      <c r="AK1067" s="3"/>
      <c r="AL1067" s="3"/>
      <c r="AM1067" s="3"/>
      <c r="AN1067" s="3"/>
    </row>
    <row r="1068" spans="3:40">
      <c r="C1068" s="3"/>
      <c r="D1068" s="3"/>
      <c r="E1068" s="3"/>
      <c r="S1068" s="3"/>
      <c r="T1068" s="3"/>
      <c r="AI1068" s="3"/>
      <c r="AJ1068" s="3"/>
      <c r="AK1068" s="3"/>
      <c r="AL1068" s="3"/>
      <c r="AM1068" s="3"/>
      <c r="AN1068" s="3"/>
    </row>
    <row r="1069" spans="3:40">
      <c r="C1069" s="3"/>
      <c r="D1069" s="3"/>
      <c r="E1069" s="3"/>
      <c r="S1069" s="3"/>
      <c r="T1069" s="3"/>
      <c r="AI1069" s="3"/>
      <c r="AJ1069" s="3"/>
      <c r="AK1069" s="3"/>
      <c r="AL1069" s="3"/>
      <c r="AM1069" s="3"/>
      <c r="AN1069" s="3"/>
    </row>
    <row r="1070" spans="3:40">
      <c r="C1070" s="3"/>
      <c r="D1070" s="3"/>
      <c r="E1070" s="3"/>
      <c r="S1070" s="3"/>
      <c r="T1070" s="3"/>
      <c r="AI1070" s="3"/>
      <c r="AJ1070" s="3"/>
      <c r="AK1070" s="3"/>
      <c r="AL1070" s="3"/>
      <c r="AM1070" s="3"/>
      <c r="AN1070" s="3"/>
    </row>
    <row r="1071" spans="3:40">
      <c r="C1071" s="3"/>
      <c r="D1071" s="3"/>
      <c r="E1071" s="3"/>
      <c r="S1071" s="3"/>
      <c r="T1071" s="3"/>
      <c r="AI1071" s="3"/>
      <c r="AJ1071" s="3"/>
      <c r="AK1071" s="3"/>
      <c r="AL1071" s="3"/>
      <c r="AM1071" s="3"/>
      <c r="AN1071" s="3"/>
    </row>
    <row r="1072" spans="3:40">
      <c r="C1072" s="3"/>
      <c r="D1072" s="3"/>
      <c r="E1072" s="3"/>
      <c r="S1072" s="3"/>
      <c r="T1072" s="3"/>
      <c r="AI1072" s="3"/>
      <c r="AJ1072" s="3"/>
      <c r="AK1072" s="3"/>
      <c r="AL1072" s="3"/>
      <c r="AM1072" s="3"/>
      <c r="AN1072" s="3"/>
    </row>
    <row r="1073" spans="3:40">
      <c r="C1073" s="3"/>
      <c r="D1073" s="3"/>
      <c r="E1073" s="3"/>
      <c r="S1073" s="3"/>
      <c r="T1073" s="3"/>
      <c r="AI1073" s="3"/>
      <c r="AJ1073" s="3"/>
      <c r="AK1073" s="3"/>
      <c r="AL1073" s="3"/>
      <c r="AM1073" s="3"/>
      <c r="AN1073" s="3"/>
    </row>
    <row r="1074" spans="3:40">
      <c r="C1074" s="3"/>
      <c r="D1074" s="3"/>
      <c r="E1074" s="3"/>
      <c r="S1074" s="3"/>
      <c r="T1074" s="3"/>
      <c r="AI1074" s="3"/>
      <c r="AJ1074" s="3"/>
      <c r="AK1074" s="3"/>
      <c r="AL1074" s="3"/>
      <c r="AM1074" s="3"/>
      <c r="AN1074" s="3"/>
    </row>
    <row r="1075" spans="3:40">
      <c r="C1075" s="3"/>
      <c r="D1075" s="3"/>
      <c r="E1075" s="3"/>
      <c r="S1075" s="3"/>
      <c r="T1075" s="3"/>
      <c r="AI1075" s="3"/>
      <c r="AJ1075" s="3"/>
      <c r="AK1075" s="3"/>
      <c r="AL1075" s="3"/>
      <c r="AM1075" s="3"/>
      <c r="AN1075" s="3"/>
    </row>
    <row r="1076" spans="3:40">
      <c r="C1076" s="3"/>
      <c r="D1076" s="3"/>
      <c r="E1076" s="3"/>
      <c r="S1076" s="3"/>
      <c r="T1076" s="3"/>
      <c r="AI1076" s="3"/>
      <c r="AJ1076" s="3"/>
      <c r="AK1076" s="3"/>
      <c r="AL1076" s="3"/>
      <c r="AM1076" s="3"/>
      <c r="AN1076" s="3"/>
    </row>
    <row r="1077" spans="3:40">
      <c r="C1077" s="3"/>
      <c r="D1077" s="3"/>
      <c r="E1077" s="3"/>
      <c r="S1077" s="3"/>
      <c r="T1077" s="3"/>
      <c r="AI1077" s="3"/>
      <c r="AJ1077" s="3"/>
      <c r="AK1077" s="3"/>
      <c r="AL1077" s="3"/>
      <c r="AM1077" s="3"/>
      <c r="AN1077" s="3"/>
    </row>
    <row r="1078" spans="3:40">
      <c r="C1078" s="3"/>
      <c r="D1078" s="3"/>
      <c r="E1078" s="3"/>
      <c r="S1078" s="3"/>
      <c r="T1078" s="3"/>
      <c r="AI1078" s="3"/>
      <c r="AJ1078" s="3"/>
      <c r="AK1078" s="3"/>
      <c r="AL1078" s="3"/>
      <c r="AM1078" s="3"/>
      <c r="AN1078" s="3"/>
    </row>
    <row r="1079" spans="3:40">
      <c r="C1079" s="3"/>
      <c r="D1079" s="3"/>
      <c r="E1079" s="3"/>
      <c r="S1079" s="3"/>
      <c r="T1079" s="3"/>
      <c r="AI1079" s="3"/>
      <c r="AJ1079" s="3"/>
      <c r="AK1079" s="3"/>
      <c r="AL1079" s="3"/>
      <c r="AM1079" s="3"/>
      <c r="AN1079" s="3"/>
    </row>
    <row r="1080" spans="3:40">
      <c r="C1080" s="3"/>
      <c r="D1080" s="3"/>
      <c r="E1080" s="3"/>
      <c r="S1080" s="3"/>
      <c r="T1080" s="3"/>
      <c r="AI1080" s="3"/>
      <c r="AJ1080" s="3"/>
      <c r="AK1080" s="3"/>
      <c r="AL1080" s="3"/>
      <c r="AM1080" s="3"/>
      <c r="AN1080" s="3"/>
    </row>
    <row r="1081" spans="3:40">
      <c r="C1081" s="3"/>
      <c r="D1081" s="3"/>
      <c r="E1081" s="3"/>
      <c r="S1081" s="3"/>
      <c r="T1081" s="3"/>
      <c r="AI1081" s="3"/>
      <c r="AJ1081" s="3"/>
      <c r="AK1081" s="3"/>
      <c r="AL1081" s="3"/>
      <c r="AM1081" s="3"/>
      <c r="AN1081" s="3"/>
    </row>
    <row r="1082" spans="3:40">
      <c r="C1082" s="3"/>
      <c r="D1082" s="3"/>
      <c r="E1082" s="3"/>
      <c r="S1082" s="3"/>
      <c r="T1082" s="3"/>
      <c r="AI1082" s="3"/>
      <c r="AJ1082" s="3"/>
      <c r="AK1082" s="3"/>
      <c r="AL1082" s="3"/>
      <c r="AM1082" s="3"/>
      <c r="AN1082" s="3"/>
    </row>
    <row r="1083" spans="3:40">
      <c r="C1083" s="3"/>
      <c r="D1083" s="3"/>
      <c r="E1083" s="3"/>
      <c r="S1083" s="3"/>
      <c r="T1083" s="3"/>
      <c r="AI1083" s="3"/>
      <c r="AJ1083" s="3"/>
      <c r="AK1083" s="3"/>
      <c r="AL1083" s="3"/>
      <c r="AM1083" s="3"/>
      <c r="AN1083" s="3"/>
    </row>
    <row r="1084" spans="3:40">
      <c r="C1084" s="3"/>
      <c r="D1084" s="3"/>
      <c r="E1084" s="3"/>
      <c r="S1084" s="3"/>
      <c r="T1084" s="3"/>
      <c r="AI1084" s="3"/>
      <c r="AJ1084" s="3"/>
      <c r="AK1084" s="3"/>
      <c r="AL1084" s="3"/>
      <c r="AM1084" s="3"/>
      <c r="AN1084" s="3"/>
    </row>
    <row r="1085" spans="3:40">
      <c r="C1085" s="3"/>
      <c r="D1085" s="3"/>
      <c r="E1085" s="3"/>
      <c r="S1085" s="3"/>
      <c r="T1085" s="3"/>
      <c r="AI1085" s="3"/>
      <c r="AJ1085" s="3"/>
      <c r="AK1085" s="3"/>
      <c r="AL1085" s="3"/>
      <c r="AM1085" s="3"/>
      <c r="AN1085" s="3"/>
    </row>
    <row r="1086" spans="3:40">
      <c r="C1086" s="3"/>
      <c r="D1086" s="3"/>
      <c r="E1086" s="3"/>
      <c r="S1086" s="3"/>
      <c r="T1086" s="3"/>
      <c r="AI1086" s="3"/>
      <c r="AJ1086" s="3"/>
      <c r="AK1086" s="3"/>
      <c r="AL1086" s="3"/>
      <c r="AM1086" s="3"/>
      <c r="AN1086" s="3"/>
    </row>
    <row r="1087" spans="3:40">
      <c r="C1087" s="3"/>
      <c r="D1087" s="3"/>
      <c r="E1087" s="3"/>
      <c r="S1087" s="3"/>
      <c r="T1087" s="3"/>
      <c r="AI1087" s="3"/>
      <c r="AJ1087" s="3"/>
      <c r="AK1087" s="3"/>
      <c r="AL1087" s="3"/>
      <c r="AM1087" s="3"/>
      <c r="AN1087" s="3"/>
    </row>
    <row r="1088" spans="3:40">
      <c r="C1088" s="3"/>
      <c r="D1088" s="3"/>
      <c r="E1088" s="3"/>
      <c r="S1088" s="3"/>
      <c r="T1088" s="3"/>
      <c r="AI1088" s="3"/>
      <c r="AJ1088" s="3"/>
      <c r="AK1088" s="3"/>
      <c r="AL1088" s="3"/>
      <c r="AM1088" s="3"/>
      <c r="AN1088" s="3"/>
    </row>
    <row r="1089" spans="3:40">
      <c r="C1089" s="3"/>
      <c r="D1089" s="3"/>
      <c r="E1089" s="3"/>
      <c r="S1089" s="3"/>
      <c r="T1089" s="3"/>
      <c r="AI1089" s="3"/>
      <c r="AJ1089" s="3"/>
      <c r="AK1089" s="3"/>
      <c r="AL1089" s="3"/>
      <c r="AM1089" s="3"/>
      <c r="AN1089" s="3"/>
    </row>
    <row r="1090" spans="3:40">
      <c r="C1090" s="3"/>
      <c r="D1090" s="3"/>
      <c r="E1090" s="3"/>
      <c r="S1090" s="3"/>
      <c r="T1090" s="3"/>
      <c r="AI1090" s="3"/>
      <c r="AJ1090" s="3"/>
      <c r="AK1090" s="3"/>
      <c r="AL1090" s="3"/>
      <c r="AM1090" s="3"/>
      <c r="AN1090" s="3"/>
    </row>
    <row r="1091" spans="3:40">
      <c r="C1091" s="3"/>
      <c r="D1091" s="3"/>
      <c r="E1091" s="3"/>
      <c r="S1091" s="3"/>
      <c r="T1091" s="3"/>
      <c r="AI1091" s="3"/>
      <c r="AJ1091" s="3"/>
      <c r="AK1091" s="3"/>
      <c r="AL1091" s="3"/>
      <c r="AM1091" s="3"/>
      <c r="AN1091" s="3"/>
    </row>
    <row r="1092" spans="3:40">
      <c r="C1092" s="3"/>
      <c r="D1092" s="3"/>
      <c r="E1092" s="3"/>
      <c r="S1092" s="3"/>
      <c r="T1092" s="3"/>
      <c r="AI1092" s="3"/>
      <c r="AJ1092" s="3"/>
      <c r="AK1092" s="3"/>
      <c r="AL1092" s="3"/>
      <c r="AM1092" s="3"/>
      <c r="AN1092" s="3"/>
    </row>
    <row r="1093" spans="3:40">
      <c r="C1093" s="3"/>
      <c r="D1093" s="3"/>
      <c r="E1093" s="3"/>
      <c r="S1093" s="3"/>
      <c r="T1093" s="3"/>
      <c r="AI1093" s="3"/>
      <c r="AJ1093" s="3"/>
      <c r="AK1093" s="3"/>
      <c r="AL1093" s="3"/>
      <c r="AM1093" s="3"/>
      <c r="AN1093" s="3"/>
    </row>
    <row r="1094" spans="3:40">
      <c r="C1094" s="3"/>
      <c r="D1094" s="3"/>
      <c r="E1094" s="3"/>
      <c r="S1094" s="3"/>
      <c r="T1094" s="3"/>
      <c r="AI1094" s="3"/>
      <c r="AJ1094" s="3"/>
      <c r="AK1094" s="3"/>
      <c r="AL1094" s="3"/>
      <c r="AM1094" s="3"/>
      <c r="AN1094" s="3"/>
    </row>
    <row r="1095" spans="3:40">
      <c r="C1095" s="3"/>
      <c r="D1095" s="3"/>
      <c r="E1095" s="3"/>
      <c r="S1095" s="3"/>
      <c r="T1095" s="3"/>
      <c r="AI1095" s="3"/>
      <c r="AJ1095" s="3"/>
      <c r="AK1095" s="3"/>
      <c r="AL1095" s="3"/>
      <c r="AM1095" s="3"/>
      <c r="AN1095" s="3"/>
    </row>
    <row r="1096" spans="3:40">
      <c r="C1096" s="3"/>
      <c r="D1096" s="3"/>
      <c r="E1096" s="3"/>
      <c r="S1096" s="3"/>
      <c r="T1096" s="3"/>
      <c r="AI1096" s="3"/>
      <c r="AJ1096" s="3"/>
      <c r="AK1096" s="3"/>
      <c r="AL1096" s="3"/>
      <c r="AM1096" s="3"/>
      <c r="AN1096" s="3"/>
    </row>
    <row r="1097" spans="3:40">
      <c r="C1097" s="3"/>
      <c r="D1097" s="3"/>
      <c r="E1097" s="3"/>
      <c r="S1097" s="3"/>
      <c r="T1097" s="3"/>
      <c r="AI1097" s="3"/>
      <c r="AJ1097" s="3"/>
      <c r="AK1097" s="3"/>
      <c r="AL1097" s="3"/>
      <c r="AM1097" s="3"/>
      <c r="AN1097" s="3"/>
    </row>
    <row r="1098" spans="3:40">
      <c r="C1098" s="3"/>
      <c r="D1098" s="3"/>
      <c r="E1098" s="3"/>
      <c r="S1098" s="3"/>
      <c r="T1098" s="3"/>
      <c r="AI1098" s="3"/>
      <c r="AJ1098" s="3"/>
      <c r="AK1098" s="3"/>
      <c r="AL1098" s="3"/>
      <c r="AM1098" s="3"/>
      <c r="AN1098" s="3"/>
    </row>
    <row r="1099" spans="3:40">
      <c r="C1099" s="3"/>
      <c r="D1099" s="3"/>
      <c r="E1099" s="3"/>
      <c r="S1099" s="3"/>
      <c r="T1099" s="3"/>
      <c r="AI1099" s="3"/>
      <c r="AJ1099" s="3"/>
      <c r="AK1099" s="3"/>
      <c r="AL1099" s="3"/>
      <c r="AM1099" s="3"/>
      <c r="AN1099" s="3"/>
    </row>
    <row r="1100" spans="3:40">
      <c r="C1100" s="3"/>
      <c r="D1100" s="3"/>
      <c r="E1100" s="3"/>
      <c r="S1100" s="3"/>
      <c r="T1100" s="3"/>
      <c r="AI1100" s="3"/>
      <c r="AJ1100" s="3"/>
      <c r="AK1100" s="3"/>
      <c r="AL1100" s="3"/>
      <c r="AM1100" s="3"/>
      <c r="AN1100" s="3"/>
    </row>
    <row r="1101" spans="3:40">
      <c r="C1101" s="3"/>
      <c r="D1101" s="3"/>
      <c r="E1101" s="3"/>
      <c r="S1101" s="3"/>
      <c r="T1101" s="3"/>
      <c r="AI1101" s="3"/>
      <c r="AJ1101" s="3"/>
      <c r="AK1101" s="3"/>
      <c r="AL1101" s="3"/>
      <c r="AM1101" s="3"/>
      <c r="AN1101" s="3"/>
    </row>
    <row r="1102" spans="3:40">
      <c r="C1102" s="3"/>
      <c r="D1102" s="3"/>
      <c r="E1102" s="3"/>
      <c r="S1102" s="3"/>
      <c r="T1102" s="3"/>
      <c r="AI1102" s="3"/>
      <c r="AJ1102" s="3"/>
      <c r="AK1102" s="3"/>
      <c r="AL1102" s="3"/>
      <c r="AM1102" s="3"/>
      <c r="AN1102" s="3"/>
    </row>
    <row r="1103" spans="3:40">
      <c r="C1103" s="3"/>
      <c r="D1103" s="3"/>
      <c r="E1103" s="3"/>
      <c r="S1103" s="3"/>
      <c r="T1103" s="3"/>
      <c r="AI1103" s="3"/>
      <c r="AJ1103" s="3"/>
      <c r="AK1103" s="3"/>
      <c r="AL1103" s="3"/>
      <c r="AM1103" s="3"/>
      <c r="AN1103" s="3"/>
    </row>
    <row r="1104" spans="3:40">
      <c r="C1104" s="3"/>
      <c r="D1104" s="3"/>
      <c r="E1104" s="3"/>
      <c r="S1104" s="3"/>
      <c r="T1104" s="3"/>
      <c r="AI1104" s="3"/>
      <c r="AJ1104" s="3"/>
      <c r="AK1104" s="3"/>
      <c r="AL1104" s="3"/>
      <c r="AM1104" s="3"/>
      <c r="AN1104" s="3"/>
    </row>
    <row r="1105" spans="3:40">
      <c r="C1105" s="3"/>
      <c r="D1105" s="3"/>
      <c r="E1105" s="3"/>
      <c r="S1105" s="3"/>
      <c r="T1105" s="3"/>
      <c r="AI1105" s="3"/>
      <c r="AJ1105" s="3"/>
      <c r="AK1105" s="3"/>
      <c r="AL1105" s="3"/>
      <c r="AM1105" s="3"/>
      <c r="AN1105" s="3"/>
    </row>
    <row r="1106" spans="3:40">
      <c r="C1106" s="3"/>
      <c r="D1106" s="3"/>
      <c r="E1106" s="3"/>
      <c r="S1106" s="3"/>
      <c r="T1106" s="3"/>
      <c r="AI1106" s="3"/>
      <c r="AJ1106" s="3"/>
      <c r="AK1106" s="3"/>
      <c r="AL1106" s="3"/>
      <c r="AM1106" s="3"/>
      <c r="AN1106" s="3"/>
    </row>
    <row r="1107" spans="3:40">
      <c r="C1107" s="3"/>
      <c r="D1107" s="3"/>
      <c r="E1107" s="3"/>
      <c r="S1107" s="3"/>
      <c r="T1107" s="3"/>
      <c r="AI1107" s="3"/>
      <c r="AJ1107" s="3"/>
      <c r="AK1107" s="3"/>
      <c r="AL1107" s="3"/>
      <c r="AM1107" s="3"/>
      <c r="AN1107" s="3"/>
    </row>
    <row r="1108" spans="3:40">
      <c r="C1108" s="3"/>
      <c r="D1108" s="3"/>
      <c r="E1108" s="3"/>
      <c r="S1108" s="3"/>
      <c r="T1108" s="3"/>
      <c r="AI1108" s="3"/>
      <c r="AJ1108" s="3"/>
      <c r="AK1108" s="3"/>
      <c r="AL1108" s="3"/>
      <c r="AM1108" s="3"/>
      <c r="AN1108" s="3"/>
    </row>
    <row r="1109" spans="3:40">
      <c r="C1109" s="3"/>
      <c r="D1109" s="3"/>
      <c r="E1109" s="3"/>
      <c r="S1109" s="3"/>
      <c r="T1109" s="3"/>
      <c r="AI1109" s="3"/>
      <c r="AJ1109" s="3"/>
      <c r="AK1109" s="3"/>
      <c r="AL1109" s="3"/>
      <c r="AM1109" s="3"/>
      <c r="AN1109" s="3"/>
    </row>
    <row r="1110" spans="3:40">
      <c r="C1110" s="3"/>
      <c r="D1110" s="3"/>
      <c r="E1110" s="3"/>
      <c r="S1110" s="3"/>
      <c r="T1110" s="3"/>
      <c r="AI1110" s="3"/>
      <c r="AJ1110" s="3"/>
      <c r="AK1110" s="3"/>
      <c r="AL1110" s="3"/>
      <c r="AM1110" s="3"/>
      <c r="AN1110" s="3"/>
    </row>
    <row r="1111" spans="3:40">
      <c r="C1111" s="3"/>
      <c r="D1111" s="3"/>
      <c r="E1111" s="3"/>
      <c r="S1111" s="3"/>
      <c r="T1111" s="3"/>
      <c r="AI1111" s="3"/>
      <c r="AJ1111" s="3"/>
      <c r="AK1111" s="3"/>
      <c r="AL1111" s="3"/>
      <c r="AM1111" s="3"/>
      <c r="AN1111" s="3"/>
    </row>
    <row r="1112" spans="3:40">
      <c r="C1112" s="3"/>
      <c r="D1112" s="3"/>
      <c r="E1112" s="3"/>
      <c r="S1112" s="3"/>
      <c r="T1112" s="3"/>
      <c r="AI1112" s="3"/>
      <c r="AJ1112" s="3"/>
      <c r="AK1112" s="3"/>
      <c r="AL1112" s="3"/>
      <c r="AM1112" s="3"/>
      <c r="AN1112" s="3"/>
    </row>
    <row r="1113" spans="3:40">
      <c r="C1113" s="3"/>
      <c r="D1113" s="3"/>
      <c r="E1113" s="3"/>
      <c r="S1113" s="3"/>
      <c r="T1113" s="3"/>
      <c r="AI1113" s="3"/>
      <c r="AJ1113" s="3"/>
      <c r="AK1113" s="3"/>
      <c r="AL1113" s="3"/>
      <c r="AM1113" s="3"/>
      <c r="AN1113" s="3"/>
    </row>
    <row r="1114" spans="3:40">
      <c r="C1114" s="3"/>
      <c r="D1114" s="3"/>
      <c r="E1114" s="3"/>
      <c r="S1114" s="3"/>
      <c r="T1114" s="3"/>
      <c r="AI1114" s="3"/>
      <c r="AJ1114" s="3"/>
      <c r="AK1114" s="3"/>
      <c r="AL1114" s="3"/>
      <c r="AM1114" s="3"/>
      <c r="AN1114" s="3"/>
    </row>
    <row r="1115" spans="3:40">
      <c r="C1115" s="3"/>
      <c r="D1115" s="3"/>
      <c r="E1115" s="3"/>
      <c r="S1115" s="3"/>
      <c r="T1115" s="3"/>
      <c r="AI1115" s="3"/>
      <c r="AJ1115" s="3"/>
      <c r="AK1115" s="3"/>
      <c r="AL1115" s="3"/>
      <c r="AM1115" s="3"/>
      <c r="AN1115" s="3"/>
    </row>
    <row r="1116" spans="3:40">
      <c r="C1116" s="3"/>
      <c r="D1116" s="3"/>
      <c r="E1116" s="3"/>
      <c r="S1116" s="3"/>
      <c r="T1116" s="3"/>
      <c r="AI1116" s="3"/>
      <c r="AJ1116" s="3"/>
      <c r="AK1116" s="3"/>
      <c r="AL1116" s="3"/>
      <c r="AM1116" s="3"/>
      <c r="AN1116" s="3"/>
    </row>
    <row r="1117" spans="3:40">
      <c r="C1117" s="3"/>
      <c r="D1117" s="3"/>
      <c r="E1117" s="3"/>
      <c r="S1117" s="3"/>
      <c r="T1117" s="3"/>
      <c r="AI1117" s="3"/>
      <c r="AJ1117" s="3"/>
      <c r="AK1117" s="3"/>
      <c r="AL1117" s="3"/>
      <c r="AM1117" s="3"/>
      <c r="AN1117" s="3"/>
    </row>
    <row r="1118" spans="3:40">
      <c r="C1118" s="3"/>
      <c r="D1118" s="3"/>
      <c r="E1118" s="3"/>
      <c r="S1118" s="3"/>
      <c r="T1118" s="3"/>
      <c r="AI1118" s="3"/>
      <c r="AJ1118" s="3"/>
      <c r="AK1118" s="3"/>
      <c r="AL1118" s="3"/>
      <c r="AM1118" s="3"/>
      <c r="AN1118" s="3"/>
    </row>
    <row r="1119" spans="3:40">
      <c r="C1119" s="3"/>
      <c r="D1119" s="3"/>
      <c r="E1119" s="3"/>
      <c r="S1119" s="3"/>
      <c r="T1119" s="3"/>
      <c r="AI1119" s="3"/>
      <c r="AJ1119" s="3"/>
      <c r="AK1119" s="3"/>
      <c r="AL1119" s="3"/>
      <c r="AM1119" s="3"/>
      <c r="AN1119" s="3"/>
    </row>
    <row r="1120" spans="3:40">
      <c r="C1120" s="3"/>
      <c r="D1120" s="3"/>
      <c r="E1120" s="3"/>
      <c r="S1120" s="3"/>
      <c r="T1120" s="3"/>
      <c r="AI1120" s="3"/>
      <c r="AJ1120" s="3"/>
      <c r="AK1120" s="3"/>
      <c r="AL1120" s="3"/>
      <c r="AM1120" s="3"/>
      <c r="AN1120" s="3"/>
    </row>
    <row r="1121" spans="3:40">
      <c r="C1121" s="3"/>
      <c r="D1121" s="3"/>
      <c r="E1121" s="3"/>
      <c r="S1121" s="3"/>
      <c r="T1121" s="3"/>
      <c r="AI1121" s="3"/>
      <c r="AJ1121" s="3"/>
      <c r="AK1121" s="3"/>
      <c r="AL1121" s="3"/>
      <c r="AM1121" s="3"/>
      <c r="AN1121" s="3"/>
    </row>
    <row r="1122" spans="3:40">
      <c r="C1122" s="3"/>
      <c r="D1122" s="3"/>
      <c r="E1122" s="3"/>
      <c r="S1122" s="3"/>
      <c r="T1122" s="3"/>
      <c r="AI1122" s="3"/>
      <c r="AJ1122" s="3"/>
      <c r="AK1122" s="3"/>
      <c r="AL1122" s="3"/>
      <c r="AM1122" s="3"/>
      <c r="AN1122" s="3"/>
    </row>
    <row r="1123" spans="3:40">
      <c r="C1123" s="3"/>
      <c r="D1123" s="3"/>
      <c r="E1123" s="3"/>
      <c r="S1123" s="3"/>
      <c r="T1123" s="3"/>
      <c r="AI1123" s="3"/>
      <c r="AJ1123" s="3"/>
      <c r="AK1123" s="3"/>
      <c r="AL1123" s="3"/>
      <c r="AM1123" s="3"/>
      <c r="AN1123" s="3"/>
    </row>
    <row r="1124" spans="3:40">
      <c r="C1124" s="3"/>
      <c r="D1124" s="3"/>
      <c r="E1124" s="3"/>
      <c r="S1124" s="3"/>
      <c r="T1124" s="3"/>
      <c r="AI1124" s="3"/>
      <c r="AJ1124" s="3"/>
      <c r="AK1124" s="3"/>
      <c r="AL1124" s="3"/>
      <c r="AM1124" s="3"/>
      <c r="AN1124" s="3"/>
    </row>
    <row r="1125" spans="3:40">
      <c r="C1125" s="3"/>
      <c r="D1125" s="3"/>
      <c r="E1125" s="3"/>
      <c r="S1125" s="3"/>
      <c r="T1125" s="3"/>
      <c r="AI1125" s="3"/>
      <c r="AJ1125" s="3"/>
      <c r="AK1125" s="3"/>
      <c r="AL1125" s="3"/>
      <c r="AM1125" s="3"/>
      <c r="AN1125" s="3"/>
    </row>
    <row r="1126" spans="3:40">
      <c r="C1126" s="3"/>
      <c r="D1126" s="3"/>
      <c r="E1126" s="3"/>
      <c r="S1126" s="3"/>
      <c r="T1126" s="3"/>
      <c r="AI1126" s="3"/>
      <c r="AJ1126" s="3"/>
      <c r="AK1126" s="3"/>
      <c r="AL1126" s="3"/>
      <c r="AM1126" s="3"/>
      <c r="AN1126" s="3"/>
    </row>
    <row r="1127" spans="3:40">
      <c r="C1127" s="3"/>
      <c r="D1127" s="3"/>
      <c r="E1127" s="3"/>
      <c r="S1127" s="3"/>
      <c r="T1127" s="3"/>
      <c r="AI1127" s="3"/>
      <c r="AJ1127" s="3"/>
      <c r="AK1127" s="3"/>
      <c r="AL1127" s="3"/>
      <c r="AM1127" s="3"/>
      <c r="AN1127" s="3"/>
    </row>
    <row r="1128" spans="3:40">
      <c r="C1128" s="3"/>
      <c r="D1128" s="3"/>
      <c r="E1128" s="3"/>
      <c r="S1128" s="3"/>
      <c r="T1128" s="3"/>
      <c r="AI1128" s="3"/>
      <c r="AJ1128" s="3"/>
      <c r="AK1128" s="3"/>
      <c r="AL1128" s="3"/>
      <c r="AM1128" s="3"/>
      <c r="AN1128" s="3"/>
    </row>
    <row r="1129" spans="3:40">
      <c r="C1129" s="3"/>
      <c r="D1129" s="3"/>
      <c r="E1129" s="3"/>
      <c r="S1129" s="3"/>
      <c r="T1129" s="3"/>
      <c r="AI1129" s="3"/>
      <c r="AJ1129" s="3"/>
      <c r="AK1129" s="3"/>
      <c r="AL1129" s="3"/>
      <c r="AM1129" s="3"/>
      <c r="AN1129" s="3"/>
    </row>
    <row r="1130" spans="3:40">
      <c r="C1130" s="3"/>
      <c r="D1130" s="3"/>
      <c r="E1130" s="3"/>
      <c r="S1130" s="3"/>
      <c r="T1130" s="3"/>
      <c r="AI1130" s="3"/>
      <c r="AJ1130" s="3"/>
      <c r="AK1130" s="3"/>
      <c r="AL1130" s="3"/>
      <c r="AM1130" s="3"/>
      <c r="AN1130" s="3"/>
    </row>
    <row r="1131" spans="3:40">
      <c r="C1131" s="3"/>
      <c r="D1131" s="3"/>
      <c r="E1131" s="3"/>
      <c r="S1131" s="3"/>
      <c r="T1131" s="3"/>
      <c r="AI1131" s="3"/>
      <c r="AJ1131" s="3"/>
      <c r="AK1131" s="3"/>
      <c r="AL1131" s="3"/>
      <c r="AM1131" s="3"/>
      <c r="AN1131" s="3"/>
    </row>
    <row r="1132" spans="3:40">
      <c r="C1132" s="3"/>
      <c r="D1132" s="3"/>
      <c r="E1132" s="3"/>
      <c r="S1132" s="3"/>
      <c r="T1132" s="3"/>
      <c r="AI1132" s="3"/>
      <c r="AJ1132" s="3"/>
      <c r="AK1132" s="3"/>
      <c r="AL1132" s="3"/>
      <c r="AM1132" s="3"/>
      <c r="AN1132" s="3"/>
    </row>
    <row r="1133" spans="3:40">
      <c r="C1133" s="3"/>
      <c r="D1133" s="3"/>
      <c r="E1133" s="3"/>
      <c r="S1133" s="3"/>
      <c r="T1133" s="3"/>
      <c r="AI1133" s="3"/>
      <c r="AJ1133" s="3"/>
      <c r="AK1133" s="3"/>
      <c r="AL1133" s="3"/>
      <c r="AM1133" s="3"/>
      <c r="AN1133" s="3"/>
    </row>
    <row r="1134" spans="3:40">
      <c r="C1134" s="3"/>
      <c r="D1134" s="3"/>
      <c r="E1134" s="3"/>
      <c r="S1134" s="3"/>
      <c r="T1134" s="3"/>
      <c r="AI1134" s="3"/>
      <c r="AJ1134" s="3"/>
      <c r="AK1134" s="3"/>
      <c r="AL1134" s="3"/>
      <c r="AM1134" s="3"/>
      <c r="AN1134" s="3"/>
    </row>
    <row r="1135" spans="3:40">
      <c r="C1135" s="3"/>
      <c r="D1135" s="3"/>
      <c r="E1135" s="3"/>
      <c r="S1135" s="3"/>
      <c r="T1135" s="3"/>
      <c r="AI1135" s="3"/>
      <c r="AJ1135" s="3"/>
      <c r="AK1135" s="3"/>
      <c r="AL1135" s="3"/>
      <c r="AM1135" s="3"/>
      <c r="AN1135" s="3"/>
    </row>
    <row r="1136" spans="3:40">
      <c r="C1136" s="3"/>
      <c r="D1136" s="3"/>
      <c r="E1136" s="3"/>
      <c r="S1136" s="3"/>
      <c r="T1136" s="3"/>
      <c r="AI1136" s="3"/>
      <c r="AJ1136" s="3"/>
      <c r="AK1136" s="3"/>
      <c r="AL1136" s="3"/>
      <c r="AM1136" s="3"/>
      <c r="AN1136" s="3"/>
    </row>
    <row r="1137" spans="3:40">
      <c r="C1137" s="3"/>
      <c r="D1137" s="3"/>
      <c r="E1137" s="3"/>
      <c r="S1137" s="3"/>
      <c r="T1137" s="3"/>
      <c r="AI1137" s="3"/>
      <c r="AJ1137" s="3"/>
      <c r="AK1137" s="3"/>
      <c r="AL1137" s="3"/>
      <c r="AM1137" s="3"/>
      <c r="AN1137" s="3"/>
    </row>
    <row r="1138" spans="3:40">
      <c r="C1138" s="3"/>
      <c r="D1138" s="3"/>
      <c r="E1138" s="3"/>
      <c r="S1138" s="3"/>
      <c r="T1138" s="3"/>
      <c r="AI1138" s="3"/>
      <c r="AJ1138" s="3"/>
      <c r="AK1138" s="3"/>
      <c r="AL1138" s="3"/>
      <c r="AM1138" s="3"/>
      <c r="AN1138" s="3"/>
    </row>
    <row r="1139" spans="3:40">
      <c r="C1139" s="3"/>
      <c r="D1139" s="3"/>
      <c r="E1139" s="3"/>
      <c r="S1139" s="3"/>
      <c r="T1139" s="3"/>
      <c r="AI1139" s="3"/>
      <c r="AJ1139" s="3"/>
      <c r="AK1139" s="3"/>
      <c r="AL1139" s="3"/>
      <c r="AM1139" s="3"/>
      <c r="AN1139" s="3"/>
    </row>
    <row r="1140" spans="3:40">
      <c r="C1140" s="3"/>
      <c r="D1140" s="3"/>
      <c r="E1140" s="3"/>
      <c r="S1140" s="3"/>
      <c r="T1140" s="3"/>
      <c r="AI1140" s="3"/>
      <c r="AJ1140" s="3"/>
      <c r="AK1140" s="3"/>
      <c r="AL1140" s="3"/>
      <c r="AM1140" s="3"/>
      <c r="AN1140" s="3"/>
    </row>
    <row r="1141" spans="3:40">
      <c r="C1141" s="3"/>
      <c r="D1141" s="3"/>
      <c r="E1141" s="3"/>
      <c r="S1141" s="3"/>
      <c r="T1141" s="3"/>
      <c r="AI1141" s="3"/>
      <c r="AJ1141" s="3"/>
      <c r="AK1141" s="3"/>
      <c r="AL1141" s="3"/>
      <c r="AM1141" s="3"/>
      <c r="AN1141" s="3"/>
    </row>
    <row r="1142" spans="3:40">
      <c r="C1142" s="3"/>
      <c r="D1142" s="3"/>
      <c r="E1142" s="3"/>
      <c r="S1142" s="3"/>
      <c r="T1142" s="3"/>
      <c r="AI1142" s="3"/>
      <c r="AJ1142" s="3"/>
      <c r="AK1142" s="3"/>
      <c r="AL1142" s="3"/>
      <c r="AM1142" s="3"/>
      <c r="AN1142" s="3"/>
    </row>
    <row r="1143" spans="3:40">
      <c r="C1143" s="3"/>
      <c r="D1143" s="3"/>
      <c r="E1143" s="3"/>
      <c r="S1143" s="3"/>
      <c r="T1143" s="3"/>
      <c r="AI1143" s="3"/>
      <c r="AJ1143" s="3"/>
      <c r="AK1143" s="3"/>
      <c r="AL1143" s="3"/>
      <c r="AM1143" s="3"/>
      <c r="AN1143" s="3"/>
    </row>
    <row r="1144" spans="3:40">
      <c r="C1144" s="3"/>
      <c r="D1144" s="3"/>
      <c r="E1144" s="3"/>
      <c r="S1144" s="3"/>
      <c r="T1144" s="3"/>
      <c r="AI1144" s="3"/>
      <c r="AJ1144" s="3"/>
      <c r="AK1144" s="3"/>
      <c r="AL1144" s="3"/>
      <c r="AM1144" s="3"/>
      <c r="AN1144" s="3"/>
    </row>
    <row r="1145" spans="3:40">
      <c r="C1145" s="3"/>
      <c r="D1145" s="3"/>
      <c r="E1145" s="3"/>
      <c r="S1145" s="3"/>
      <c r="T1145" s="3"/>
      <c r="AI1145" s="3"/>
      <c r="AJ1145" s="3"/>
      <c r="AK1145" s="3"/>
      <c r="AL1145" s="3"/>
      <c r="AM1145" s="3"/>
      <c r="AN1145" s="3"/>
    </row>
    <row r="1146" spans="3:40">
      <c r="C1146" s="3"/>
      <c r="D1146" s="3"/>
      <c r="E1146" s="3"/>
      <c r="S1146" s="3"/>
      <c r="T1146" s="3"/>
      <c r="AI1146" s="3"/>
      <c r="AJ1146" s="3"/>
      <c r="AK1146" s="3"/>
      <c r="AL1146" s="3"/>
      <c r="AM1146" s="3"/>
      <c r="AN1146" s="3"/>
    </row>
    <row r="1147" spans="3:40">
      <c r="C1147" s="3"/>
      <c r="D1147" s="3"/>
      <c r="E1147" s="3"/>
      <c r="S1147" s="3"/>
      <c r="T1147" s="3"/>
      <c r="AI1147" s="3"/>
      <c r="AJ1147" s="3"/>
      <c r="AK1147" s="3"/>
      <c r="AL1147" s="3"/>
      <c r="AM1147" s="3"/>
      <c r="AN1147" s="3"/>
    </row>
    <row r="1148" spans="3:40">
      <c r="C1148" s="3"/>
      <c r="D1148" s="3"/>
      <c r="E1148" s="3"/>
      <c r="S1148" s="3"/>
      <c r="T1148" s="3"/>
      <c r="AI1148" s="3"/>
      <c r="AJ1148" s="3"/>
      <c r="AK1148" s="3"/>
      <c r="AL1148" s="3"/>
      <c r="AM1148" s="3"/>
      <c r="AN1148" s="3"/>
    </row>
    <row r="1149" spans="3:40">
      <c r="C1149" s="3"/>
      <c r="D1149" s="3"/>
      <c r="E1149" s="3"/>
      <c r="S1149" s="3"/>
      <c r="T1149" s="3"/>
      <c r="AI1149" s="3"/>
      <c r="AJ1149" s="3"/>
      <c r="AK1149" s="3"/>
      <c r="AL1149" s="3"/>
      <c r="AM1149" s="3"/>
      <c r="AN1149" s="3"/>
    </row>
    <row r="1150" spans="3:40">
      <c r="C1150" s="3"/>
      <c r="D1150" s="3"/>
      <c r="E1150" s="3"/>
      <c r="S1150" s="3"/>
      <c r="T1150" s="3"/>
      <c r="AI1150" s="3"/>
      <c r="AJ1150" s="3"/>
      <c r="AK1150" s="3"/>
      <c r="AL1150" s="3"/>
      <c r="AM1150" s="3"/>
      <c r="AN1150" s="3"/>
    </row>
    <row r="1151" spans="3:40">
      <c r="C1151" s="3"/>
      <c r="D1151" s="3"/>
      <c r="E1151" s="3"/>
      <c r="S1151" s="3"/>
      <c r="T1151" s="3"/>
      <c r="AI1151" s="3"/>
      <c r="AJ1151" s="3"/>
      <c r="AK1151" s="3"/>
      <c r="AL1151" s="3"/>
      <c r="AM1151" s="3"/>
      <c r="AN1151" s="3"/>
    </row>
    <row r="1152" spans="3:40">
      <c r="C1152" s="3"/>
      <c r="D1152" s="3"/>
      <c r="E1152" s="3"/>
      <c r="S1152" s="3"/>
      <c r="T1152" s="3"/>
      <c r="AI1152" s="3"/>
      <c r="AJ1152" s="3"/>
      <c r="AK1152" s="3"/>
      <c r="AL1152" s="3"/>
      <c r="AM1152" s="3"/>
      <c r="AN1152" s="3"/>
    </row>
    <row r="1153" spans="3:40">
      <c r="C1153" s="3"/>
      <c r="D1153" s="3"/>
      <c r="E1153" s="3"/>
      <c r="S1153" s="3"/>
      <c r="T1153" s="3"/>
      <c r="AI1153" s="3"/>
      <c r="AJ1153" s="3"/>
      <c r="AK1153" s="3"/>
      <c r="AL1153" s="3"/>
      <c r="AM1153" s="3"/>
      <c r="AN1153" s="3"/>
    </row>
    <row r="1154" spans="3:40">
      <c r="C1154" s="3"/>
      <c r="D1154" s="3"/>
      <c r="E1154" s="3"/>
      <c r="S1154" s="3"/>
      <c r="T1154" s="3"/>
      <c r="AI1154" s="3"/>
      <c r="AJ1154" s="3"/>
      <c r="AK1154" s="3"/>
      <c r="AL1154" s="3"/>
      <c r="AM1154" s="3"/>
      <c r="AN1154" s="3"/>
    </row>
    <row r="1155" spans="3:40">
      <c r="C1155" s="3"/>
      <c r="D1155" s="3"/>
      <c r="E1155" s="3"/>
      <c r="S1155" s="3"/>
      <c r="T1155" s="3"/>
      <c r="AI1155" s="3"/>
      <c r="AJ1155" s="3"/>
      <c r="AK1155" s="3"/>
      <c r="AL1155" s="3"/>
      <c r="AM1155" s="3"/>
      <c r="AN1155" s="3"/>
    </row>
    <row r="1156" spans="3:40">
      <c r="C1156" s="3"/>
      <c r="D1156" s="3"/>
      <c r="E1156" s="3"/>
      <c r="S1156" s="3"/>
      <c r="T1156" s="3"/>
      <c r="AI1156" s="3"/>
      <c r="AJ1156" s="3"/>
      <c r="AK1156" s="3"/>
      <c r="AL1156" s="3"/>
      <c r="AM1156" s="3"/>
      <c r="AN1156" s="3"/>
    </row>
    <row r="1157" spans="3:40">
      <c r="C1157" s="3"/>
      <c r="D1157" s="3"/>
      <c r="E1157" s="3"/>
      <c r="S1157" s="3"/>
      <c r="T1157" s="3"/>
      <c r="AI1157" s="3"/>
      <c r="AJ1157" s="3"/>
      <c r="AK1157" s="3"/>
      <c r="AL1157" s="3"/>
      <c r="AM1157" s="3"/>
      <c r="AN1157" s="3"/>
    </row>
    <row r="1158" spans="3:40">
      <c r="C1158" s="3"/>
      <c r="D1158" s="3"/>
      <c r="E1158" s="3"/>
      <c r="S1158" s="3"/>
      <c r="T1158" s="3"/>
      <c r="AI1158" s="3"/>
      <c r="AJ1158" s="3"/>
      <c r="AK1158" s="3"/>
      <c r="AL1158" s="3"/>
      <c r="AM1158" s="3"/>
      <c r="AN1158" s="3"/>
    </row>
    <row r="1159" spans="3:40">
      <c r="C1159" s="3"/>
      <c r="D1159" s="3"/>
      <c r="E1159" s="3"/>
      <c r="S1159" s="3"/>
      <c r="T1159" s="3"/>
      <c r="AI1159" s="3"/>
      <c r="AJ1159" s="3"/>
      <c r="AK1159" s="3"/>
      <c r="AL1159" s="3"/>
      <c r="AM1159" s="3"/>
      <c r="AN1159" s="3"/>
    </row>
    <row r="1160" spans="3:40">
      <c r="C1160" s="3"/>
      <c r="D1160" s="3"/>
      <c r="E1160" s="3"/>
      <c r="S1160" s="3"/>
      <c r="T1160" s="3"/>
      <c r="AI1160" s="3"/>
      <c r="AJ1160" s="3"/>
      <c r="AK1160" s="3"/>
      <c r="AL1160" s="3"/>
      <c r="AM1160" s="3"/>
      <c r="AN1160" s="3"/>
    </row>
    <row r="1161" spans="3:40">
      <c r="C1161" s="3"/>
      <c r="D1161" s="3"/>
      <c r="E1161" s="3"/>
      <c r="S1161" s="3"/>
      <c r="T1161" s="3"/>
      <c r="AI1161" s="3"/>
      <c r="AJ1161" s="3"/>
      <c r="AK1161" s="3"/>
      <c r="AL1161" s="3"/>
      <c r="AM1161" s="3"/>
      <c r="AN1161" s="3"/>
    </row>
    <row r="1162" spans="3:40">
      <c r="C1162" s="3"/>
      <c r="D1162" s="3"/>
      <c r="E1162" s="3"/>
      <c r="S1162" s="3"/>
      <c r="T1162" s="3"/>
      <c r="AI1162" s="3"/>
      <c r="AJ1162" s="3"/>
      <c r="AK1162" s="3"/>
      <c r="AL1162" s="3"/>
      <c r="AM1162" s="3"/>
      <c r="AN1162" s="3"/>
    </row>
    <row r="1163" spans="3:40">
      <c r="C1163" s="3"/>
      <c r="D1163" s="3"/>
      <c r="E1163" s="3"/>
      <c r="S1163" s="3"/>
      <c r="T1163" s="3"/>
      <c r="AI1163" s="3"/>
      <c r="AJ1163" s="3"/>
      <c r="AK1163" s="3"/>
      <c r="AL1163" s="3"/>
      <c r="AM1163" s="3"/>
      <c r="AN1163" s="3"/>
    </row>
    <row r="1164" spans="3:40">
      <c r="C1164" s="3"/>
      <c r="D1164" s="3"/>
      <c r="E1164" s="3"/>
      <c r="S1164" s="3"/>
      <c r="T1164" s="3"/>
      <c r="AI1164" s="3"/>
      <c r="AJ1164" s="3"/>
      <c r="AK1164" s="3"/>
      <c r="AL1164" s="3"/>
      <c r="AM1164" s="3"/>
      <c r="AN1164" s="3"/>
    </row>
    <row r="1165" spans="3:40">
      <c r="C1165" s="3"/>
      <c r="D1165" s="3"/>
      <c r="E1165" s="3"/>
      <c r="S1165" s="3"/>
      <c r="T1165" s="3"/>
      <c r="AI1165" s="3"/>
      <c r="AJ1165" s="3"/>
      <c r="AK1165" s="3"/>
      <c r="AL1165" s="3"/>
      <c r="AM1165" s="3"/>
      <c r="AN1165" s="3"/>
    </row>
    <row r="1166" spans="3:40">
      <c r="C1166" s="3"/>
      <c r="D1166" s="3"/>
      <c r="E1166" s="3"/>
      <c r="S1166" s="3"/>
      <c r="T1166" s="3"/>
      <c r="AI1166" s="3"/>
      <c r="AJ1166" s="3"/>
      <c r="AK1166" s="3"/>
      <c r="AL1166" s="3"/>
      <c r="AM1166" s="3"/>
      <c r="AN1166" s="3"/>
    </row>
    <row r="1167" spans="3:40">
      <c r="C1167" s="3"/>
      <c r="D1167" s="3"/>
      <c r="E1167" s="3"/>
      <c r="S1167" s="3"/>
      <c r="T1167" s="3"/>
      <c r="AI1167" s="3"/>
      <c r="AJ1167" s="3"/>
      <c r="AK1167" s="3"/>
      <c r="AL1167" s="3"/>
      <c r="AM1167" s="3"/>
      <c r="AN1167" s="3"/>
    </row>
    <row r="1168" spans="3:40">
      <c r="C1168" s="3"/>
      <c r="D1168" s="3"/>
      <c r="E1168" s="3"/>
      <c r="S1168" s="3"/>
      <c r="T1168" s="3"/>
      <c r="AI1168" s="3"/>
      <c r="AJ1168" s="3"/>
      <c r="AK1168" s="3"/>
      <c r="AL1168" s="3"/>
      <c r="AM1168" s="3"/>
      <c r="AN1168" s="3"/>
    </row>
    <row r="1169" spans="3:40">
      <c r="C1169" s="3"/>
      <c r="D1169" s="3"/>
      <c r="E1169" s="3"/>
      <c r="S1169" s="3"/>
      <c r="T1169" s="3"/>
      <c r="AI1169" s="3"/>
      <c r="AJ1169" s="3"/>
      <c r="AK1169" s="3"/>
      <c r="AL1169" s="3"/>
      <c r="AM1169" s="3"/>
      <c r="AN1169" s="3"/>
    </row>
    <row r="1170" spans="3:40">
      <c r="C1170" s="3"/>
      <c r="D1170" s="3"/>
      <c r="E1170" s="3"/>
      <c r="S1170" s="3"/>
      <c r="T1170" s="3"/>
      <c r="AI1170" s="3"/>
      <c r="AJ1170" s="3"/>
      <c r="AK1170" s="3"/>
      <c r="AL1170" s="3"/>
      <c r="AM1170" s="3"/>
      <c r="AN1170" s="3"/>
    </row>
    <row r="1171" spans="3:40">
      <c r="C1171" s="3"/>
      <c r="D1171" s="3"/>
      <c r="E1171" s="3"/>
      <c r="S1171" s="3"/>
      <c r="T1171" s="3"/>
      <c r="AI1171" s="3"/>
      <c r="AJ1171" s="3"/>
      <c r="AK1171" s="3"/>
      <c r="AL1171" s="3"/>
      <c r="AM1171" s="3"/>
      <c r="AN1171" s="3"/>
    </row>
    <row r="1172" spans="3:40">
      <c r="C1172" s="3"/>
      <c r="D1172" s="3"/>
      <c r="E1172" s="3"/>
      <c r="S1172" s="3"/>
      <c r="T1172" s="3"/>
      <c r="AI1172" s="3"/>
      <c r="AJ1172" s="3"/>
      <c r="AK1172" s="3"/>
      <c r="AL1172" s="3"/>
      <c r="AM1172" s="3"/>
      <c r="AN1172" s="3"/>
    </row>
    <row r="1173" spans="3:40">
      <c r="C1173" s="3"/>
      <c r="D1173" s="3"/>
      <c r="E1173" s="3"/>
      <c r="S1173" s="3"/>
      <c r="T1173" s="3"/>
      <c r="AI1173" s="3"/>
      <c r="AJ1173" s="3"/>
      <c r="AK1173" s="3"/>
      <c r="AL1173" s="3"/>
      <c r="AM1173" s="3"/>
      <c r="AN1173" s="3"/>
    </row>
    <row r="1174" spans="3:40">
      <c r="C1174" s="3"/>
      <c r="D1174" s="3"/>
      <c r="E1174" s="3"/>
      <c r="S1174" s="3"/>
      <c r="T1174" s="3"/>
      <c r="AI1174" s="3"/>
      <c r="AJ1174" s="3"/>
      <c r="AK1174" s="3"/>
      <c r="AL1174" s="3"/>
      <c r="AM1174" s="3"/>
      <c r="AN1174" s="3"/>
    </row>
    <row r="1175" spans="3:40">
      <c r="C1175" s="3"/>
      <c r="D1175" s="3"/>
      <c r="E1175" s="3"/>
      <c r="S1175" s="3"/>
      <c r="T1175" s="3"/>
      <c r="AI1175" s="3"/>
      <c r="AJ1175" s="3"/>
      <c r="AK1175" s="3"/>
      <c r="AL1175" s="3"/>
      <c r="AM1175" s="3"/>
      <c r="AN1175" s="3"/>
    </row>
    <row r="1176" spans="3:40">
      <c r="C1176" s="3"/>
      <c r="D1176" s="3"/>
      <c r="E1176" s="3"/>
      <c r="S1176" s="3"/>
      <c r="T1176" s="3"/>
      <c r="AI1176" s="3"/>
      <c r="AJ1176" s="3"/>
      <c r="AK1176" s="3"/>
      <c r="AL1176" s="3"/>
      <c r="AM1176" s="3"/>
      <c r="AN1176" s="3"/>
    </row>
    <row r="1177" spans="3:40">
      <c r="C1177" s="3"/>
      <c r="D1177" s="3"/>
      <c r="E1177" s="3"/>
      <c r="S1177" s="3"/>
      <c r="T1177" s="3"/>
      <c r="AI1177" s="3"/>
      <c r="AJ1177" s="3"/>
      <c r="AK1177" s="3"/>
      <c r="AL1177" s="3"/>
      <c r="AM1177" s="3"/>
      <c r="AN1177" s="3"/>
    </row>
    <row r="1178" spans="3:40">
      <c r="C1178" s="3"/>
      <c r="D1178" s="3"/>
      <c r="E1178" s="3"/>
      <c r="S1178" s="3"/>
      <c r="T1178" s="3"/>
      <c r="AI1178" s="3"/>
      <c r="AJ1178" s="3"/>
      <c r="AK1178" s="3"/>
      <c r="AL1178" s="3"/>
      <c r="AM1178" s="3"/>
      <c r="AN1178" s="3"/>
    </row>
    <row r="1179" spans="3:40">
      <c r="C1179" s="3"/>
      <c r="D1179" s="3"/>
      <c r="E1179" s="3"/>
      <c r="S1179" s="3"/>
      <c r="T1179" s="3"/>
      <c r="AI1179" s="3"/>
      <c r="AJ1179" s="3"/>
      <c r="AK1179" s="3"/>
      <c r="AL1179" s="3"/>
      <c r="AM1179" s="3"/>
      <c r="AN1179" s="3"/>
    </row>
    <row r="1180" spans="3:40">
      <c r="C1180" s="3"/>
      <c r="D1180" s="3"/>
      <c r="E1180" s="3"/>
      <c r="S1180" s="3"/>
      <c r="T1180" s="3"/>
      <c r="AI1180" s="3"/>
      <c r="AJ1180" s="3"/>
      <c r="AK1180" s="3"/>
      <c r="AL1180" s="3"/>
      <c r="AM1180" s="3"/>
      <c r="AN1180" s="3"/>
    </row>
    <row r="1181" spans="3:40">
      <c r="C1181" s="3"/>
      <c r="D1181" s="3"/>
      <c r="E1181" s="3"/>
      <c r="S1181" s="3"/>
      <c r="T1181" s="3"/>
      <c r="AI1181" s="3"/>
      <c r="AJ1181" s="3"/>
      <c r="AK1181" s="3"/>
      <c r="AL1181" s="3"/>
      <c r="AM1181" s="3"/>
      <c r="AN1181" s="3"/>
    </row>
    <row r="1182" spans="3:40">
      <c r="C1182" s="3"/>
      <c r="D1182" s="3"/>
      <c r="E1182" s="3"/>
      <c r="S1182" s="3"/>
      <c r="T1182" s="3"/>
      <c r="AI1182" s="3"/>
      <c r="AJ1182" s="3"/>
      <c r="AK1182" s="3"/>
      <c r="AL1182" s="3"/>
      <c r="AM1182" s="3"/>
      <c r="AN1182" s="3"/>
    </row>
    <row r="1183" spans="3:40">
      <c r="C1183" s="3"/>
      <c r="D1183" s="3"/>
      <c r="E1183" s="3"/>
      <c r="S1183" s="3"/>
      <c r="T1183" s="3"/>
      <c r="AI1183" s="3"/>
      <c r="AJ1183" s="3"/>
      <c r="AK1183" s="3"/>
      <c r="AL1183" s="3"/>
      <c r="AM1183" s="3"/>
      <c r="AN1183" s="3"/>
    </row>
    <row r="1184" spans="3:40">
      <c r="C1184" s="3"/>
      <c r="D1184" s="3"/>
      <c r="E1184" s="3"/>
      <c r="S1184" s="3"/>
      <c r="T1184" s="3"/>
      <c r="AI1184" s="3"/>
      <c r="AJ1184" s="3"/>
      <c r="AK1184" s="3"/>
      <c r="AL1184" s="3"/>
      <c r="AM1184" s="3"/>
      <c r="AN1184" s="3"/>
    </row>
    <row r="1185" spans="3:40">
      <c r="C1185" s="3"/>
      <c r="D1185" s="3"/>
      <c r="E1185" s="3"/>
      <c r="S1185" s="3"/>
      <c r="T1185" s="3"/>
      <c r="AI1185" s="3"/>
      <c r="AJ1185" s="3"/>
      <c r="AK1185" s="3"/>
      <c r="AL1185" s="3"/>
      <c r="AM1185" s="3"/>
      <c r="AN1185" s="3"/>
    </row>
    <row r="1186" spans="3:40">
      <c r="C1186" s="3"/>
      <c r="D1186" s="3"/>
      <c r="E1186" s="3"/>
      <c r="S1186" s="3"/>
      <c r="T1186" s="3"/>
      <c r="AI1186" s="3"/>
      <c r="AJ1186" s="3"/>
      <c r="AK1186" s="3"/>
      <c r="AL1186" s="3"/>
      <c r="AM1186" s="3"/>
      <c r="AN1186" s="3"/>
    </row>
    <row r="1187" spans="3:40">
      <c r="C1187" s="3"/>
      <c r="D1187" s="3"/>
      <c r="E1187" s="3"/>
      <c r="S1187" s="3"/>
      <c r="T1187" s="3"/>
      <c r="AI1187" s="3"/>
      <c r="AJ1187" s="3"/>
      <c r="AK1187" s="3"/>
      <c r="AL1187" s="3"/>
      <c r="AM1187" s="3"/>
      <c r="AN1187" s="3"/>
    </row>
    <row r="1188" spans="3:40">
      <c r="C1188" s="3"/>
      <c r="D1188" s="3"/>
      <c r="E1188" s="3"/>
      <c r="S1188" s="3"/>
      <c r="T1188" s="3"/>
      <c r="AI1188" s="3"/>
      <c r="AJ1188" s="3"/>
      <c r="AK1188" s="3"/>
      <c r="AL1188" s="3"/>
      <c r="AM1188" s="3"/>
      <c r="AN1188" s="3"/>
    </row>
    <row r="1189" spans="3:40">
      <c r="C1189" s="3"/>
      <c r="D1189" s="3"/>
      <c r="E1189" s="3"/>
      <c r="S1189" s="3"/>
      <c r="T1189" s="3"/>
      <c r="AI1189" s="3"/>
      <c r="AJ1189" s="3"/>
      <c r="AK1189" s="3"/>
      <c r="AL1189" s="3"/>
      <c r="AM1189" s="3"/>
      <c r="AN1189" s="3"/>
    </row>
    <row r="1190" spans="3:40">
      <c r="C1190" s="3"/>
      <c r="D1190" s="3"/>
      <c r="E1190" s="3"/>
      <c r="S1190" s="3"/>
      <c r="T1190" s="3"/>
      <c r="AI1190" s="3"/>
      <c r="AJ1190" s="3"/>
      <c r="AK1190" s="3"/>
      <c r="AL1190" s="3"/>
      <c r="AM1190" s="3"/>
      <c r="AN1190" s="3"/>
    </row>
    <row r="1191" spans="3:40">
      <c r="C1191" s="3"/>
      <c r="D1191" s="3"/>
      <c r="E1191" s="3"/>
      <c r="S1191" s="3"/>
      <c r="T1191" s="3"/>
      <c r="AI1191" s="3"/>
      <c r="AJ1191" s="3"/>
      <c r="AK1191" s="3"/>
      <c r="AL1191" s="3"/>
      <c r="AM1191" s="3"/>
      <c r="AN1191" s="3"/>
    </row>
    <row r="1192" spans="3:40">
      <c r="C1192" s="3"/>
      <c r="D1192" s="3"/>
      <c r="E1192" s="3"/>
      <c r="S1192" s="3"/>
      <c r="T1192" s="3"/>
      <c r="AI1192" s="3"/>
      <c r="AJ1192" s="3"/>
      <c r="AK1192" s="3"/>
      <c r="AL1192" s="3"/>
      <c r="AM1192" s="3"/>
      <c r="AN1192" s="3"/>
    </row>
    <row r="1193" spans="3:40">
      <c r="C1193" s="3"/>
      <c r="D1193" s="3"/>
      <c r="E1193" s="3"/>
      <c r="S1193" s="3"/>
      <c r="T1193" s="3"/>
      <c r="AI1193" s="3"/>
      <c r="AJ1193" s="3"/>
      <c r="AK1193" s="3"/>
      <c r="AL1193" s="3"/>
      <c r="AM1193" s="3"/>
      <c r="AN1193" s="3"/>
    </row>
    <row r="1194" spans="3:40">
      <c r="C1194" s="3"/>
      <c r="D1194" s="3"/>
      <c r="E1194" s="3"/>
      <c r="S1194" s="3"/>
      <c r="T1194" s="3"/>
      <c r="AI1194" s="3"/>
      <c r="AJ1194" s="3"/>
      <c r="AK1194" s="3"/>
      <c r="AL1194" s="3"/>
      <c r="AM1194" s="3"/>
      <c r="AN1194" s="3"/>
    </row>
    <row r="1195" spans="3:40">
      <c r="C1195" s="3"/>
      <c r="D1195" s="3"/>
      <c r="E1195" s="3"/>
      <c r="S1195" s="3"/>
      <c r="T1195" s="3"/>
      <c r="AI1195" s="3"/>
      <c r="AJ1195" s="3"/>
      <c r="AK1195" s="3"/>
      <c r="AL1195" s="3"/>
      <c r="AM1195" s="3"/>
      <c r="AN1195" s="3"/>
    </row>
    <row r="1196" spans="3:40">
      <c r="C1196" s="3"/>
      <c r="D1196" s="3"/>
      <c r="E1196" s="3"/>
      <c r="S1196" s="3"/>
      <c r="T1196" s="3"/>
      <c r="AI1196" s="3"/>
      <c r="AJ1196" s="3"/>
      <c r="AK1196" s="3"/>
      <c r="AL1196" s="3"/>
      <c r="AM1196" s="3"/>
      <c r="AN1196" s="3"/>
    </row>
    <row r="1197" spans="3:40">
      <c r="C1197" s="3"/>
      <c r="D1197" s="3"/>
      <c r="E1197" s="3"/>
      <c r="S1197" s="3"/>
      <c r="T1197" s="3"/>
      <c r="AI1197" s="3"/>
      <c r="AJ1197" s="3"/>
      <c r="AK1197" s="3"/>
      <c r="AL1197" s="3"/>
      <c r="AM1197" s="3"/>
      <c r="AN1197" s="3"/>
    </row>
    <row r="1198" spans="3:40">
      <c r="C1198" s="3"/>
      <c r="D1198" s="3"/>
      <c r="E1198" s="3"/>
      <c r="S1198" s="3"/>
      <c r="T1198" s="3"/>
      <c r="AI1198" s="3"/>
      <c r="AJ1198" s="3"/>
      <c r="AK1198" s="3"/>
      <c r="AL1198" s="3"/>
      <c r="AM1198" s="3"/>
      <c r="AN1198" s="3"/>
    </row>
    <row r="1199" spans="3:40">
      <c r="C1199" s="3"/>
      <c r="D1199" s="3"/>
      <c r="E1199" s="3"/>
      <c r="S1199" s="3"/>
      <c r="T1199" s="3"/>
      <c r="AI1199" s="3"/>
      <c r="AJ1199" s="3"/>
      <c r="AK1199" s="3"/>
      <c r="AL1199" s="3"/>
      <c r="AM1199" s="3"/>
      <c r="AN1199" s="3"/>
    </row>
    <row r="1200" spans="3:40">
      <c r="C1200" s="3"/>
      <c r="D1200" s="3"/>
      <c r="E1200" s="3"/>
      <c r="S1200" s="3"/>
      <c r="T1200" s="3"/>
      <c r="AI1200" s="3"/>
      <c r="AJ1200" s="3"/>
      <c r="AK1200" s="3"/>
      <c r="AL1200" s="3"/>
      <c r="AM1200" s="3"/>
      <c r="AN1200" s="3"/>
    </row>
    <row r="1201" spans="3:40">
      <c r="C1201" s="3"/>
      <c r="D1201" s="3"/>
      <c r="E1201" s="3"/>
      <c r="S1201" s="3"/>
      <c r="T1201" s="3"/>
      <c r="AI1201" s="3"/>
      <c r="AJ1201" s="3"/>
      <c r="AK1201" s="3"/>
      <c r="AL1201" s="3"/>
      <c r="AM1201" s="3"/>
      <c r="AN1201" s="3"/>
    </row>
    <row r="1202" spans="3:40">
      <c r="C1202" s="3"/>
      <c r="D1202" s="3"/>
      <c r="E1202" s="3"/>
      <c r="S1202" s="3"/>
      <c r="T1202" s="3"/>
      <c r="AI1202" s="3"/>
      <c r="AJ1202" s="3"/>
      <c r="AK1202" s="3"/>
      <c r="AL1202" s="3"/>
      <c r="AM1202" s="3"/>
      <c r="AN1202" s="3"/>
    </row>
    <row r="1203" spans="3:40">
      <c r="C1203" s="3"/>
      <c r="D1203" s="3"/>
      <c r="E1203" s="3"/>
      <c r="S1203" s="3"/>
      <c r="T1203" s="3"/>
      <c r="AI1203" s="3"/>
      <c r="AJ1203" s="3"/>
      <c r="AK1203" s="3"/>
      <c r="AL1203" s="3"/>
      <c r="AM1203" s="3"/>
      <c r="AN1203" s="3"/>
    </row>
    <row r="1204" spans="3:40">
      <c r="C1204" s="3"/>
      <c r="D1204" s="3"/>
      <c r="E1204" s="3"/>
      <c r="S1204" s="3"/>
      <c r="T1204" s="3"/>
      <c r="AI1204" s="3"/>
      <c r="AJ1204" s="3"/>
      <c r="AK1204" s="3"/>
      <c r="AL1204" s="3"/>
      <c r="AM1204" s="3"/>
      <c r="AN1204" s="3"/>
    </row>
    <row r="1205" spans="3:40">
      <c r="C1205" s="3"/>
      <c r="D1205" s="3"/>
      <c r="E1205" s="3"/>
      <c r="S1205" s="3"/>
      <c r="T1205" s="3"/>
      <c r="AI1205" s="3"/>
      <c r="AJ1205" s="3"/>
      <c r="AK1205" s="3"/>
      <c r="AL1205" s="3"/>
      <c r="AM1205" s="3"/>
      <c r="AN1205" s="3"/>
    </row>
    <row r="1206" spans="3:40">
      <c r="C1206" s="3"/>
      <c r="D1206" s="3"/>
      <c r="E1206" s="3"/>
      <c r="S1206" s="3"/>
      <c r="T1206" s="3"/>
      <c r="AI1206" s="3"/>
      <c r="AJ1206" s="3"/>
      <c r="AK1206" s="3"/>
      <c r="AL1206" s="3"/>
      <c r="AM1206" s="3"/>
      <c r="AN1206" s="3"/>
    </row>
    <row r="1207" spans="3:40">
      <c r="C1207" s="3"/>
      <c r="D1207" s="3"/>
      <c r="E1207" s="3"/>
      <c r="S1207" s="3"/>
      <c r="T1207" s="3"/>
      <c r="AI1207" s="3"/>
      <c r="AJ1207" s="3"/>
      <c r="AK1207" s="3"/>
      <c r="AL1207" s="3"/>
      <c r="AM1207" s="3"/>
      <c r="AN1207" s="3"/>
    </row>
    <row r="1208" spans="3:40">
      <c r="C1208" s="3"/>
      <c r="D1208" s="3"/>
      <c r="E1208" s="3"/>
      <c r="S1208" s="3"/>
      <c r="T1208" s="3"/>
      <c r="AI1208" s="3"/>
      <c r="AJ1208" s="3"/>
      <c r="AK1208" s="3"/>
      <c r="AL1208" s="3"/>
      <c r="AM1208" s="3"/>
      <c r="AN1208" s="3"/>
    </row>
    <row r="1209" spans="3:40">
      <c r="C1209" s="3"/>
      <c r="D1209" s="3"/>
      <c r="E1209" s="3"/>
      <c r="S1209" s="3"/>
      <c r="T1209" s="3"/>
      <c r="AI1209" s="3"/>
      <c r="AJ1209" s="3"/>
      <c r="AK1209" s="3"/>
      <c r="AL1209" s="3"/>
      <c r="AM1209" s="3"/>
      <c r="AN1209" s="3"/>
    </row>
    <row r="1210" spans="3:40">
      <c r="C1210" s="3"/>
      <c r="D1210" s="3"/>
      <c r="E1210" s="3"/>
      <c r="S1210" s="3"/>
      <c r="T1210" s="3"/>
      <c r="AI1210" s="3"/>
      <c r="AJ1210" s="3"/>
      <c r="AK1210" s="3"/>
      <c r="AL1210" s="3"/>
      <c r="AM1210" s="3"/>
      <c r="AN1210" s="3"/>
    </row>
    <row r="1211" spans="3:40">
      <c r="C1211" s="3"/>
      <c r="D1211" s="3"/>
      <c r="E1211" s="3"/>
      <c r="S1211" s="3"/>
      <c r="T1211" s="3"/>
      <c r="AI1211" s="3"/>
      <c r="AJ1211" s="3"/>
      <c r="AK1211" s="3"/>
      <c r="AL1211" s="3"/>
      <c r="AM1211" s="3"/>
      <c r="AN1211" s="3"/>
    </row>
    <row r="1212" spans="3:40">
      <c r="C1212" s="3"/>
      <c r="D1212" s="3"/>
      <c r="E1212" s="3"/>
      <c r="S1212" s="3"/>
      <c r="T1212" s="3"/>
      <c r="AI1212" s="3"/>
      <c r="AJ1212" s="3"/>
      <c r="AK1212" s="3"/>
      <c r="AL1212" s="3"/>
      <c r="AM1212" s="3"/>
      <c r="AN1212" s="3"/>
    </row>
    <row r="1213" spans="3:40">
      <c r="C1213" s="3"/>
      <c r="D1213" s="3"/>
      <c r="E1213" s="3"/>
      <c r="S1213" s="3"/>
      <c r="T1213" s="3"/>
      <c r="AI1213" s="3"/>
      <c r="AJ1213" s="3"/>
      <c r="AK1213" s="3"/>
      <c r="AL1213" s="3"/>
      <c r="AM1213" s="3"/>
      <c r="AN1213" s="3"/>
    </row>
    <row r="1214" spans="3:40">
      <c r="C1214" s="3"/>
      <c r="D1214" s="3"/>
      <c r="E1214" s="3"/>
      <c r="S1214" s="3"/>
      <c r="T1214" s="3"/>
      <c r="AI1214" s="3"/>
      <c r="AJ1214" s="3"/>
      <c r="AK1214" s="3"/>
      <c r="AL1214" s="3"/>
      <c r="AM1214" s="3"/>
      <c r="AN1214" s="3"/>
    </row>
    <row r="1215" spans="3:40">
      <c r="C1215" s="3"/>
      <c r="D1215" s="3"/>
      <c r="E1215" s="3"/>
      <c r="S1215" s="3"/>
      <c r="T1215" s="3"/>
      <c r="AI1215" s="3"/>
      <c r="AJ1215" s="3"/>
      <c r="AK1215" s="3"/>
      <c r="AL1215" s="3"/>
      <c r="AM1215" s="3"/>
      <c r="AN1215" s="3"/>
    </row>
    <row r="1216" spans="3:40">
      <c r="C1216" s="3"/>
      <c r="D1216" s="3"/>
      <c r="E1216" s="3"/>
      <c r="S1216" s="3"/>
      <c r="T1216" s="3"/>
      <c r="AI1216" s="3"/>
      <c r="AJ1216" s="3"/>
      <c r="AK1216" s="3"/>
      <c r="AL1216" s="3"/>
      <c r="AM1216" s="3"/>
      <c r="AN1216" s="3"/>
    </row>
    <row r="1217" spans="3:40">
      <c r="C1217" s="3"/>
      <c r="D1217" s="3"/>
      <c r="E1217" s="3"/>
      <c r="S1217" s="3"/>
      <c r="T1217" s="3"/>
      <c r="AI1217" s="3"/>
      <c r="AJ1217" s="3"/>
      <c r="AK1217" s="3"/>
      <c r="AL1217" s="3"/>
      <c r="AM1217" s="3"/>
      <c r="AN1217" s="3"/>
    </row>
    <row r="1218" spans="3:40">
      <c r="C1218" s="3"/>
      <c r="D1218" s="3"/>
      <c r="E1218" s="3"/>
      <c r="S1218" s="3"/>
      <c r="T1218" s="3"/>
      <c r="AI1218" s="3"/>
      <c r="AJ1218" s="3"/>
      <c r="AK1218" s="3"/>
      <c r="AL1218" s="3"/>
      <c r="AM1218" s="3"/>
      <c r="AN1218" s="3"/>
    </row>
    <row r="1219" spans="3:40">
      <c r="C1219" s="3"/>
      <c r="D1219" s="3"/>
      <c r="E1219" s="3"/>
      <c r="S1219" s="3"/>
      <c r="T1219" s="3"/>
      <c r="AI1219" s="3"/>
      <c r="AJ1219" s="3"/>
      <c r="AK1219" s="3"/>
      <c r="AL1219" s="3"/>
      <c r="AM1219" s="3"/>
      <c r="AN1219" s="3"/>
    </row>
    <row r="1220" spans="3:40">
      <c r="C1220" s="3"/>
      <c r="D1220" s="3"/>
      <c r="E1220" s="3"/>
      <c r="S1220" s="3"/>
      <c r="T1220" s="3"/>
      <c r="AI1220" s="3"/>
      <c r="AJ1220" s="3"/>
      <c r="AK1220" s="3"/>
      <c r="AL1220" s="3"/>
      <c r="AM1220" s="3"/>
      <c r="AN1220" s="3"/>
    </row>
    <row r="1221" spans="3:40">
      <c r="C1221" s="3"/>
      <c r="D1221" s="3"/>
      <c r="E1221" s="3"/>
      <c r="S1221" s="3"/>
      <c r="T1221" s="3"/>
      <c r="AI1221" s="3"/>
      <c r="AJ1221" s="3"/>
      <c r="AK1221" s="3"/>
      <c r="AL1221" s="3"/>
      <c r="AM1221" s="3"/>
      <c r="AN1221" s="3"/>
    </row>
    <row r="1222" spans="3:40">
      <c r="C1222" s="3"/>
      <c r="D1222" s="3"/>
      <c r="E1222" s="3"/>
      <c r="S1222" s="3"/>
      <c r="T1222" s="3"/>
      <c r="AI1222" s="3"/>
      <c r="AJ1222" s="3"/>
      <c r="AK1222" s="3"/>
      <c r="AL1222" s="3"/>
      <c r="AM1222" s="3"/>
      <c r="AN1222" s="3"/>
    </row>
    <row r="1223" spans="3:40">
      <c r="C1223" s="3"/>
      <c r="D1223" s="3"/>
      <c r="E1223" s="3"/>
      <c r="S1223" s="3"/>
      <c r="T1223" s="3"/>
      <c r="AI1223" s="3"/>
      <c r="AJ1223" s="3"/>
      <c r="AK1223" s="3"/>
      <c r="AL1223" s="3"/>
      <c r="AM1223" s="3"/>
      <c r="AN1223" s="3"/>
    </row>
    <row r="1224" spans="3:40">
      <c r="C1224" s="3"/>
      <c r="D1224" s="3"/>
      <c r="E1224" s="3"/>
      <c r="S1224" s="3"/>
      <c r="T1224" s="3"/>
      <c r="AI1224" s="3"/>
      <c r="AJ1224" s="3"/>
      <c r="AK1224" s="3"/>
      <c r="AL1224" s="3"/>
      <c r="AM1224" s="3"/>
      <c r="AN1224" s="3"/>
    </row>
    <row r="1225" spans="3:40">
      <c r="C1225" s="3"/>
      <c r="D1225" s="3"/>
      <c r="E1225" s="3"/>
      <c r="S1225" s="3"/>
      <c r="T1225" s="3"/>
      <c r="AI1225" s="3"/>
      <c r="AJ1225" s="3"/>
      <c r="AK1225" s="3"/>
      <c r="AL1225" s="3"/>
      <c r="AM1225" s="3"/>
      <c r="AN1225" s="3"/>
    </row>
    <row r="1226" spans="3:40">
      <c r="C1226" s="3"/>
      <c r="D1226" s="3"/>
      <c r="E1226" s="3"/>
      <c r="S1226" s="3"/>
      <c r="T1226" s="3"/>
      <c r="AI1226" s="3"/>
      <c r="AJ1226" s="3"/>
      <c r="AK1226" s="3"/>
      <c r="AL1226" s="3"/>
      <c r="AM1226" s="3"/>
      <c r="AN1226" s="3"/>
    </row>
    <row r="1227" spans="3:40">
      <c r="C1227" s="3"/>
      <c r="D1227" s="3"/>
      <c r="E1227" s="3"/>
      <c r="S1227" s="3"/>
      <c r="T1227" s="3"/>
      <c r="AI1227" s="3"/>
      <c r="AJ1227" s="3"/>
      <c r="AK1227" s="3"/>
      <c r="AL1227" s="3"/>
      <c r="AM1227" s="3"/>
      <c r="AN1227" s="3"/>
    </row>
    <row r="1228" spans="3:40">
      <c r="C1228" s="3"/>
      <c r="D1228" s="3"/>
      <c r="E1228" s="3"/>
      <c r="S1228" s="3"/>
      <c r="T1228" s="3"/>
      <c r="AI1228" s="3"/>
      <c r="AJ1228" s="3"/>
      <c r="AK1228" s="3"/>
      <c r="AL1228" s="3"/>
      <c r="AM1228" s="3"/>
      <c r="AN1228" s="3"/>
    </row>
    <row r="1229" spans="3:40">
      <c r="C1229" s="3"/>
      <c r="D1229" s="3"/>
      <c r="E1229" s="3"/>
      <c r="S1229" s="3"/>
      <c r="T1229" s="3"/>
      <c r="AI1229" s="3"/>
      <c r="AJ1229" s="3"/>
      <c r="AK1229" s="3"/>
      <c r="AL1229" s="3"/>
      <c r="AM1229" s="3"/>
      <c r="AN1229" s="3"/>
    </row>
    <row r="1230" spans="3:40">
      <c r="C1230" s="3"/>
      <c r="D1230" s="3"/>
      <c r="E1230" s="3"/>
      <c r="S1230" s="3"/>
      <c r="T1230" s="3"/>
      <c r="AI1230" s="3"/>
      <c r="AJ1230" s="3"/>
      <c r="AK1230" s="3"/>
      <c r="AL1230" s="3"/>
      <c r="AM1230" s="3"/>
      <c r="AN1230" s="3"/>
    </row>
    <row r="1231" spans="3:40">
      <c r="C1231" s="3"/>
      <c r="D1231" s="3"/>
      <c r="E1231" s="3"/>
      <c r="S1231" s="3"/>
      <c r="T1231" s="3"/>
      <c r="AI1231" s="3"/>
      <c r="AJ1231" s="3"/>
      <c r="AK1231" s="3"/>
      <c r="AL1231" s="3"/>
      <c r="AM1231" s="3"/>
      <c r="AN1231" s="3"/>
    </row>
    <row r="1232" spans="3:40">
      <c r="C1232" s="3"/>
      <c r="D1232" s="3"/>
      <c r="E1232" s="3"/>
      <c r="S1232" s="3"/>
      <c r="T1232" s="3"/>
      <c r="AI1232" s="3"/>
      <c r="AJ1232" s="3"/>
      <c r="AK1232" s="3"/>
      <c r="AL1232" s="3"/>
      <c r="AM1232" s="3"/>
      <c r="AN1232" s="3"/>
    </row>
    <row r="1233" spans="3:40">
      <c r="C1233" s="3"/>
      <c r="D1233" s="3"/>
      <c r="E1233" s="3"/>
      <c r="S1233" s="3"/>
      <c r="T1233" s="3"/>
      <c r="AI1233" s="3"/>
      <c r="AJ1233" s="3"/>
      <c r="AK1233" s="3"/>
      <c r="AL1233" s="3"/>
      <c r="AM1233" s="3"/>
      <c r="AN1233" s="3"/>
    </row>
    <row r="1234" spans="3:40">
      <c r="C1234" s="3"/>
      <c r="D1234" s="3"/>
      <c r="E1234" s="3"/>
      <c r="S1234" s="3"/>
      <c r="T1234" s="3"/>
      <c r="AI1234" s="3"/>
      <c r="AJ1234" s="3"/>
      <c r="AK1234" s="3"/>
      <c r="AL1234" s="3"/>
      <c r="AM1234" s="3"/>
      <c r="AN1234" s="3"/>
    </row>
    <row r="1235" spans="3:40">
      <c r="C1235" s="3"/>
      <c r="D1235" s="3"/>
      <c r="E1235" s="3"/>
      <c r="S1235" s="3"/>
      <c r="T1235" s="3"/>
      <c r="AI1235" s="3"/>
      <c r="AJ1235" s="3"/>
      <c r="AK1235" s="3"/>
      <c r="AL1235" s="3"/>
      <c r="AM1235" s="3"/>
      <c r="AN1235" s="3"/>
    </row>
    <row r="1236" spans="3:40">
      <c r="C1236" s="3"/>
      <c r="D1236" s="3"/>
      <c r="E1236" s="3"/>
      <c r="S1236" s="3"/>
      <c r="T1236" s="3"/>
      <c r="AI1236" s="3"/>
      <c r="AJ1236" s="3"/>
      <c r="AK1236" s="3"/>
      <c r="AL1236" s="3"/>
      <c r="AM1236" s="3"/>
      <c r="AN1236" s="3"/>
    </row>
    <row r="1237" spans="3:40">
      <c r="C1237" s="3"/>
      <c r="D1237" s="3"/>
      <c r="E1237" s="3"/>
      <c r="S1237" s="3"/>
      <c r="T1237" s="3"/>
      <c r="AI1237" s="3"/>
      <c r="AJ1237" s="3"/>
      <c r="AK1237" s="3"/>
      <c r="AL1237" s="3"/>
      <c r="AM1237" s="3"/>
      <c r="AN1237" s="3"/>
    </row>
    <row r="1238" spans="3:40">
      <c r="C1238" s="3"/>
      <c r="D1238" s="3"/>
      <c r="E1238" s="3"/>
      <c r="S1238" s="3"/>
      <c r="T1238" s="3"/>
      <c r="AI1238" s="3"/>
      <c r="AJ1238" s="3"/>
      <c r="AK1238" s="3"/>
      <c r="AL1238" s="3"/>
      <c r="AM1238" s="3"/>
      <c r="AN1238" s="3"/>
    </row>
    <row r="1239" spans="3:40">
      <c r="C1239" s="3"/>
      <c r="D1239" s="3"/>
      <c r="E1239" s="3"/>
      <c r="S1239" s="3"/>
      <c r="T1239" s="3"/>
      <c r="AI1239" s="3"/>
      <c r="AJ1239" s="3"/>
      <c r="AK1239" s="3"/>
      <c r="AL1239" s="3"/>
      <c r="AM1239" s="3"/>
      <c r="AN1239" s="3"/>
    </row>
    <row r="1240" spans="3:40">
      <c r="C1240" s="3"/>
      <c r="D1240" s="3"/>
      <c r="E1240" s="3"/>
      <c r="S1240" s="3"/>
      <c r="T1240" s="3"/>
      <c r="AI1240" s="3"/>
      <c r="AJ1240" s="3"/>
      <c r="AK1240" s="3"/>
      <c r="AL1240" s="3"/>
      <c r="AM1240" s="3"/>
      <c r="AN1240" s="3"/>
    </row>
    <row r="1241" spans="3:40">
      <c r="C1241" s="3"/>
      <c r="D1241" s="3"/>
      <c r="E1241" s="3"/>
      <c r="S1241" s="3"/>
      <c r="T1241" s="3"/>
      <c r="AI1241" s="3"/>
      <c r="AJ1241" s="3"/>
      <c r="AK1241" s="3"/>
      <c r="AL1241" s="3"/>
      <c r="AM1241" s="3"/>
      <c r="AN1241" s="3"/>
    </row>
    <row r="1242" spans="3:40">
      <c r="C1242" s="3"/>
      <c r="D1242" s="3"/>
      <c r="E1242" s="3"/>
      <c r="S1242" s="3"/>
      <c r="T1242" s="3"/>
      <c r="AI1242" s="3"/>
      <c r="AJ1242" s="3"/>
      <c r="AK1242" s="3"/>
      <c r="AL1242" s="3"/>
      <c r="AM1242" s="3"/>
      <c r="AN1242" s="3"/>
    </row>
    <row r="1243" spans="3:40">
      <c r="C1243" s="3"/>
      <c r="D1243" s="3"/>
      <c r="E1243" s="3"/>
      <c r="S1243" s="3"/>
      <c r="T1243" s="3"/>
      <c r="AI1243" s="3"/>
      <c r="AJ1243" s="3"/>
      <c r="AK1243" s="3"/>
      <c r="AL1243" s="3"/>
      <c r="AM1243" s="3"/>
      <c r="AN1243" s="3"/>
    </row>
    <row r="1244" spans="3:40">
      <c r="C1244" s="3"/>
      <c r="D1244" s="3"/>
      <c r="E1244" s="3"/>
      <c r="S1244" s="3"/>
      <c r="T1244" s="3"/>
      <c r="AI1244" s="3"/>
      <c r="AJ1244" s="3"/>
      <c r="AK1244" s="3"/>
      <c r="AL1244" s="3"/>
      <c r="AM1244" s="3"/>
      <c r="AN1244" s="3"/>
    </row>
    <row r="1245" spans="3:40">
      <c r="C1245" s="3"/>
      <c r="D1245" s="3"/>
      <c r="E1245" s="3"/>
      <c r="S1245" s="3"/>
      <c r="T1245" s="3"/>
      <c r="AI1245" s="3"/>
      <c r="AJ1245" s="3"/>
      <c r="AK1245" s="3"/>
      <c r="AL1245" s="3"/>
      <c r="AM1245" s="3"/>
      <c r="AN1245" s="3"/>
    </row>
    <row r="1246" spans="3:40">
      <c r="C1246" s="3"/>
      <c r="D1246" s="3"/>
      <c r="E1246" s="3"/>
      <c r="S1246" s="3"/>
      <c r="T1246" s="3"/>
      <c r="AI1246" s="3"/>
      <c r="AJ1246" s="3"/>
      <c r="AK1246" s="3"/>
      <c r="AL1246" s="3"/>
      <c r="AM1246" s="3"/>
      <c r="AN1246" s="3"/>
    </row>
    <row r="1247" spans="3:40">
      <c r="C1247" s="3"/>
      <c r="D1247" s="3"/>
      <c r="E1247" s="3"/>
      <c r="S1247" s="3"/>
      <c r="T1247" s="3"/>
      <c r="AI1247" s="3"/>
      <c r="AJ1247" s="3"/>
      <c r="AK1247" s="3"/>
      <c r="AL1247" s="3"/>
      <c r="AM1247" s="3"/>
      <c r="AN1247" s="3"/>
    </row>
    <row r="1248" spans="3:40">
      <c r="C1248" s="3"/>
      <c r="D1248" s="3"/>
      <c r="E1248" s="3"/>
      <c r="S1248" s="3"/>
      <c r="T1248" s="3"/>
      <c r="AI1248" s="3"/>
      <c r="AJ1248" s="3"/>
      <c r="AK1248" s="3"/>
      <c r="AL1248" s="3"/>
      <c r="AM1248" s="3"/>
      <c r="AN1248" s="3"/>
    </row>
    <row r="1249" spans="3:40">
      <c r="C1249" s="3"/>
      <c r="D1249" s="3"/>
      <c r="E1249" s="3"/>
      <c r="S1249" s="3"/>
      <c r="T1249" s="3"/>
      <c r="AI1249" s="3"/>
      <c r="AJ1249" s="3"/>
      <c r="AK1249" s="3"/>
      <c r="AL1249" s="3"/>
      <c r="AM1249" s="3"/>
      <c r="AN1249" s="3"/>
    </row>
    <row r="1250" spans="3:40">
      <c r="C1250" s="3"/>
      <c r="D1250" s="3"/>
      <c r="E1250" s="3"/>
      <c r="S1250" s="3"/>
      <c r="T1250" s="3"/>
      <c r="AI1250" s="3"/>
      <c r="AJ1250" s="3"/>
      <c r="AK1250" s="3"/>
      <c r="AL1250" s="3"/>
      <c r="AM1250" s="3"/>
      <c r="AN1250" s="3"/>
    </row>
    <row r="1251" spans="3:40">
      <c r="C1251" s="3"/>
      <c r="D1251" s="3"/>
      <c r="E1251" s="3"/>
      <c r="S1251" s="3"/>
      <c r="T1251" s="3"/>
      <c r="AI1251" s="3"/>
      <c r="AJ1251" s="3"/>
      <c r="AK1251" s="3"/>
      <c r="AL1251" s="3"/>
      <c r="AM1251" s="3"/>
      <c r="AN1251" s="3"/>
    </row>
    <row r="1252" spans="3:40">
      <c r="C1252" s="3"/>
      <c r="D1252" s="3"/>
      <c r="E1252" s="3"/>
      <c r="S1252" s="3"/>
      <c r="T1252" s="3"/>
      <c r="AI1252" s="3"/>
      <c r="AJ1252" s="3"/>
      <c r="AK1252" s="3"/>
      <c r="AL1252" s="3"/>
      <c r="AM1252" s="3"/>
      <c r="AN1252" s="3"/>
    </row>
    <row r="1253" spans="3:40">
      <c r="C1253" s="3"/>
      <c r="D1253" s="3"/>
      <c r="E1253" s="3"/>
      <c r="S1253" s="3"/>
      <c r="T1253" s="3"/>
      <c r="AI1253" s="3"/>
      <c r="AJ1253" s="3"/>
      <c r="AK1253" s="3"/>
      <c r="AL1253" s="3"/>
      <c r="AM1253" s="3"/>
      <c r="AN1253" s="3"/>
    </row>
    <row r="1254" spans="3:40">
      <c r="C1254" s="3"/>
      <c r="D1254" s="3"/>
      <c r="E1254" s="3"/>
      <c r="S1254" s="3"/>
      <c r="T1254" s="3"/>
      <c r="AI1254" s="3"/>
      <c r="AJ1254" s="3"/>
      <c r="AK1254" s="3"/>
      <c r="AL1254" s="3"/>
      <c r="AM1254" s="3"/>
      <c r="AN1254" s="3"/>
    </row>
    <row r="1255" spans="3:40">
      <c r="C1255" s="3"/>
      <c r="D1255" s="3"/>
      <c r="E1255" s="3"/>
      <c r="S1255" s="3"/>
      <c r="T1255" s="3"/>
      <c r="AI1255" s="3"/>
      <c r="AJ1255" s="3"/>
      <c r="AK1255" s="3"/>
      <c r="AL1255" s="3"/>
      <c r="AM1255" s="3"/>
      <c r="AN1255" s="3"/>
    </row>
    <row r="1256" spans="3:40">
      <c r="C1256" s="3"/>
      <c r="D1256" s="3"/>
      <c r="E1256" s="3"/>
      <c r="S1256" s="3"/>
      <c r="T1256" s="3"/>
      <c r="AI1256" s="3"/>
      <c r="AJ1256" s="3"/>
      <c r="AK1256" s="3"/>
      <c r="AL1256" s="3"/>
      <c r="AM1256" s="3"/>
      <c r="AN1256" s="3"/>
    </row>
    <row r="1257" spans="3:40">
      <c r="C1257" s="3"/>
      <c r="D1257" s="3"/>
      <c r="E1257" s="3"/>
      <c r="S1257" s="3"/>
      <c r="T1257" s="3"/>
      <c r="AI1257" s="3"/>
      <c r="AJ1257" s="3"/>
      <c r="AK1257" s="3"/>
      <c r="AL1257" s="3"/>
      <c r="AM1257" s="3"/>
      <c r="AN1257" s="3"/>
    </row>
    <row r="1258" spans="3:40">
      <c r="C1258" s="3"/>
      <c r="D1258" s="3"/>
      <c r="E1258" s="3"/>
      <c r="S1258" s="3"/>
      <c r="T1258" s="3"/>
      <c r="AI1258" s="3"/>
      <c r="AJ1258" s="3"/>
      <c r="AK1258" s="3"/>
      <c r="AL1258" s="3"/>
      <c r="AM1258" s="3"/>
      <c r="AN1258" s="3"/>
    </row>
    <row r="1259" spans="3:40">
      <c r="C1259" s="3"/>
      <c r="D1259" s="3"/>
      <c r="E1259" s="3"/>
      <c r="S1259" s="3"/>
      <c r="T1259" s="3"/>
      <c r="AI1259" s="3"/>
      <c r="AJ1259" s="3"/>
      <c r="AK1259" s="3"/>
      <c r="AL1259" s="3"/>
      <c r="AM1259" s="3"/>
      <c r="AN1259" s="3"/>
    </row>
    <row r="1260" spans="3:40">
      <c r="C1260" s="3"/>
      <c r="D1260" s="3"/>
      <c r="E1260" s="3"/>
      <c r="S1260" s="3"/>
      <c r="T1260" s="3"/>
      <c r="AI1260" s="3"/>
      <c r="AJ1260" s="3"/>
      <c r="AK1260" s="3"/>
      <c r="AL1260" s="3"/>
      <c r="AM1260" s="3"/>
      <c r="AN1260" s="3"/>
    </row>
    <row r="1261" spans="3:40">
      <c r="C1261" s="3"/>
      <c r="D1261" s="3"/>
      <c r="E1261" s="3"/>
      <c r="S1261" s="3"/>
      <c r="T1261" s="3"/>
      <c r="AI1261" s="3"/>
      <c r="AJ1261" s="3"/>
      <c r="AK1261" s="3"/>
      <c r="AL1261" s="3"/>
      <c r="AM1261" s="3"/>
      <c r="AN1261" s="3"/>
    </row>
    <row r="1262" spans="3:40">
      <c r="C1262" s="3"/>
      <c r="D1262" s="3"/>
      <c r="E1262" s="3"/>
      <c r="S1262" s="3"/>
      <c r="T1262" s="3"/>
      <c r="AI1262" s="3"/>
      <c r="AJ1262" s="3"/>
      <c r="AK1262" s="3"/>
      <c r="AL1262" s="3"/>
      <c r="AM1262" s="3"/>
      <c r="AN1262" s="3"/>
    </row>
    <row r="1263" spans="3:40">
      <c r="C1263" s="3"/>
      <c r="D1263" s="3"/>
      <c r="E1263" s="3"/>
      <c r="S1263" s="3"/>
      <c r="T1263" s="3"/>
      <c r="AI1263" s="3"/>
      <c r="AJ1263" s="3"/>
      <c r="AK1263" s="3"/>
      <c r="AL1263" s="3"/>
      <c r="AM1263" s="3"/>
      <c r="AN1263" s="3"/>
    </row>
    <row r="1264" spans="3:40">
      <c r="C1264" s="3"/>
      <c r="D1264" s="3"/>
      <c r="E1264" s="3"/>
      <c r="S1264" s="3"/>
      <c r="T1264" s="3"/>
      <c r="AI1264" s="3"/>
      <c r="AJ1264" s="3"/>
      <c r="AK1264" s="3"/>
      <c r="AL1264" s="3"/>
      <c r="AM1264" s="3"/>
      <c r="AN1264" s="3"/>
    </row>
    <row r="1265" spans="3:40">
      <c r="C1265" s="3"/>
      <c r="D1265" s="3"/>
      <c r="E1265" s="3"/>
      <c r="S1265" s="3"/>
      <c r="T1265" s="3"/>
      <c r="AI1265" s="3"/>
      <c r="AJ1265" s="3"/>
      <c r="AK1265" s="3"/>
      <c r="AL1265" s="3"/>
      <c r="AM1265" s="3"/>
      <c r="AN1265" s="3"/>
    </row>
    <row r="1266" spans="3:40">
      <c r="C1266" s="3"/>
      <c r="D1266" s="3"/>
      <c r="E1266" s="3"/>
      <c r="S1266" s="3"/>
      <c r="T1266" s="3"/>
      <c r="AI1266" s="3"/>
      <c r="AJ1266" s="3"/>
      <c r="AK1266" s="3"/>
      <c r="AL1266" s="3"/>
      <c r="AM1266" s="3"/>
      <c r="AN1266" s="3"/>
    </row>
    <row r="1267" spans="3:40">
      <c r="C1267" s="3"/>
      <c r="D1267" s="3"/>
      <c r="E1267" s="3"/>
      <c r="S1267" s="3"/>
      <c r="T1267" s="3"/>
      <c r="AI1267" s="3"/>
      <c r="AJ1267" s="3"/>
      <c r="AK1267" s="3"/>
      <c r="AL1267" s="3"/>
      <c r="AM1267" s="3"/>
      <c r="AN1267" s="3"/>
    </row>
    <row r="1268" spans="3:40">
      <c r="C1268" s="3"/>
      <c r="D1268" s="3"/>
      <c r="E1268" s="3"/>
      <c r="S1268" s="3"/>
      <c r="T1268" s="3"/>
      <c r="AI1268" s="3"/>
      <c r="AJ1268" s="3"/>
      <c r="AK1268" s="3"/>
      <c r="AL1268" s="3"/>
      <c r="AM1268" s="3"/>
      <c r="AN1268" s="3"/>
    </row>
    <row r="1269" spans="3:40">
      <c r="C1269" s="3"/>
      <c r="D1269" s="3"/>
      <c r="E1269" s="3"/>
      <c r="S1269" s="3"/>
      <c r="T1269" s="3"/>
      <c r="AI1269" s="3"/>
      <c r="AJ1269" s="3"/>
      <c r="AK1269" s="3"/>
      <c r="AL1269" s="3"/>
      <c r="AM1269" s="3"/>
      <c r="AN1269" s="3"/>
    </row>
    <row r="1270" spans="3:40">
      <c r="C1270" s="3"/>
      <c r="D1270" s="3"/>
      <c r="E1270" s="3"/>
      <c r="S1270" s="3"/>
      <c r="T1270" s="3"/>
      <c r="AI1270" s="3"/>
      <c r="AJ1270" s="3"/>
      <c r="AK1270" s="3"/>
      <c r="AL1270" s="3"/>
      <c r="AM1270" s="3"/>
      <c r="AN1270" s="3"/>
    </row>
    <row r="1271" spans="3:40">
      <c r="C1271" s="3"/>
      <c r="D1271" s="3"/>
      <c r="E1271" s="3"/>
      <c r="S1271" s="3"/>
      <c r="T1271" s="3"/>
      <c r="AI1271" s="3"/>
      <c r="AJ1271" s="3"/>
      <c r="AK1271" s="3"/>
      <c r="AL1271" s="3"/>
      <c r="AM1271" s="3"/>
      <c r="AN1271" s="3"/>
    </row>
    <row r="1272" spans="3:40">
      <c r="C1272" s="3"/>
      <c r="D1272" s="3"/>
      <c r="E1272" s="3"/>
      <c r="S1272" s="3"/>
      <c r="T1272" s="3"/>
      <c r="AI1272" s="3"/>
      <c r="AJ1272" s="3"/>
      <c r="AK1272" s="3"/>
      <c r="AL1272" s="3"/>
      <c r="AM1272" s="3"/>
      <c r="AN1272" s="3"/>
    </row>
    <row r="1273" spans="3:40">
      <c r="C1273" s="3"/>
      <c r="D1273" s="3"/>
      <c r="E1273" s="3"/>
      <c r="S1273" s="3"/>
      <c r="T1273" s="3"/>
      <c r="AI1273" s="3"/>
      <c r="AJ1273" s="3"/>
      <c r="AK1273" s="3"/>
      <c r="AL1273" s="3"/>
      <c r="AM1273" s="3"/>
      <c r="AN1273" s="3"/>
    </row>
    <row r="1274" spans="3:40">
      <c r="C1274" s="3"/>
      <c r="D1274" s="3"/>
      <c r="E1274" s="3"/>
      <c r="S1274" s="3"/>
      <c r="T1274" s="3"/>
      <c r="AI1274" s="3"/>
      <c r="AJ1274" s="3"/>
      <c r="AK1274" s="3"/>
      <c r="AL1274" s="3"/>
      <c r="AM1274" s="3"/>
      <c r="AN1274" s="3"/>
    </row>
    <row r="1275" spans="3:40">
      <c r="C1275" s="3"/>
      <c r="D1275" s="3"/>
      <c r="E1275" s="3"/>
      <c r="S1275" s="3"/>
      <c r="T1275" s="3"/>
      <c r="AI1275" s="3"/>
      <c r="AJ1275" s="3"/>
      <c r="AK1275" s="3"/>
      <c r="AL1275" s="3"/>
      <c r="AM1275" s="3"/>
      <c r="AN1275" s="3"/>
    </row>
    <row r="1276" spans="3:40">
      <c r="C1276" s="3"/>
      <c r="D1276" s="3"/>
      <c r="E1276" s="3"/>
      <c r="S1276" s="3"/>
      <c r="T1276" s="3"/>
      <c r="AI1276" s="3"/>
      <c r="AJ1276" s="3"/>
      <c r="AK1276" s="3"/>
      <c r="AL1276" s="3"/>
      <c r="AM1276" s="3"/>
      <c r="AN1276" s="3"/>
    </row>
    <row r="1277" spans="3:40">
      <c r="C1277" s="3"/>
      <c r="D1277" s="3"/>
      <c r="E1277" s="3"/>
      <c r="S1277" s="3"/>
      <c r="T1277" s="3"/>
      <c r="AI1277" s="3"/>
      <c r="AJ1277" s="3"/>
      <c r="AK1277" s="3"/>
      <c r="AL1277" s="3"/>
      <c r="AM1277" s="3"/>
      <c r="AN1277" s="3"/>
    </row>
    <row r="1278" spans="3:40">
      <c r="C1278" s="3"/>
      <c r="D1278" s="3"/>
      <c r="E1278" s="3"/>
      <c r="S1278" s="3"/>
      <c r="T1278" s="3"/>
      <c r="AI1278" s="3"/>
      <c r="AJ1278" s="3"/>
      <c r="AK1278" s="3"/>
      <c r="AL1278" s="3"/>
      <c r="AM1278" s="3"/>
      <c r="AN1278" s="3"/>
    </row>
    <row r="1279" spans="3:40">
      <c r="C1279" s="3"/>
      <c r="D1279" s="3"/>
      <c r="E1279" s="3"/>
      <c r="S1279" s="3"/>
      <c r="T1279" s="3"/>
      <c r="AI1279" s="3"/>
      <c r="AJ1279" s="3"/>
      <c r="AK1279" s="3"/>
      <c r="AL1279" s="3"/>
      <c r="AM1279" s="3"/>
      <c r="AN1279" s="3"/>
    </row>
    <row r="1280" spans="3:40">
      <c r="C1280" s="3"/>
      <c r="D1280" s="3"/>
      <c r="E1280" s="3"/>
      <c r="S1280" s="3"/>
      <c r="T1280" s="3"/>
      <c r="AI1280" s="3"/>
      <c r="AJ1280" s="3"/>
      <c r="AK1280" s="3"/>
      <c r="AL1280" s="3"/>
      <c r="AM1280" s="3"/>
      <c r="AN1280" s="3"/>
    </row>
    <row r="1281" spans="3:40">
      <c r="C1281" s="3"/>
      <c r="D1281" s="3"/>
      <c r="E1281" s="3"/>
      <c r="S1281" s="3"/>
      <c r="T1281" s="3"/>
      <c r="AI1281" s="3"/>
      <c r="AJ1281" s="3"/>
      <c r="AK1281" s="3"/>
      <c r="AL1281" s="3"/>
      <c r="AM1281" s="3"/>
      <c r="AN1281" s="3"/>
    </row>
    <row r="1282" spans="3:40">
      <c r="C1282" s="3"/>
      <c r="D1282" s="3"/>
      <c r="E1282" s="3"/>
      <c r="S1282" s="3"/>
      <c r="T1282" s="3"/>
      <c r="AI1282" s="3"/>
      <c r="AJ1282" s="3"/>
      <c r="AK1282" s="3"/>
      <c r="AL1282" s="3"/>
      <c r="AM1282" s="3"/>
      <c r="AN1282" s="3"/>
    </row>
    <row r="1283" spans="3:40">
      <c r="C1283" s="3"/>
      <c r="D1283" s="3"/>
      <c r="E1283" s="3"/>
      <c r="S1283" s="3"/>
      <c r="T1283" s="3"/>
      <c r="AI1283" s="3"/>
      <c r="AJ1283" s="3"/>
      <c r="AK1283" s="3"/>
      <c r="AL1283" s="3"/>
      <c r="AM1283" s="3"/>
      <c r="AN1283" s="3"/>
    </row>
    <row r="1284" spans="3:40">
      <c r="C1284" s="3"/>
      <c r="D1284" s="3"/>
      <c r="E1284" s="3"/>
      <c r="S1284" s="3"/>
      <c r="T1284" s="3"/>
      <c r="AI1284" s="3"/>
      <c r="AJ1284" s="3"/>
      <c r="AK1284" s="3"/>
      <c r="AL1284" s="3"/>
      <c r="AM1284" s="3"/>
      <c r="AN1284" s="3"/>
    </row>
    <row r="1285" spans="3:40">
      <c r="C1285" s="3"/>
      <c r="D1285" s="3"/>
      <c r="E1285" s="3"/>
      <c r="S1285" s="3"/>
      <c r="T1285" s="3"/>
      <c r="AI1285" s="3"/>
      <c r="AJ1285" s="3"/>
      <c r="AK1285" s="3"/>
      <c r="AL1285" s="3"/>
      <c r="AM1285" s="3"/>
      <c r="AN1285" s="3"/>
    </row>
    <row r="1286" spans="3:40">
      <c r="C1286" s="3"/>
      <c r="D1286" s="3"/>
      <c r="E1286" s="3"/>
      <c r="S1286" s="3"/>
      <c r="T1286" s="3"/>
      <c r="AI1286" s="3"/>
      <c r="AJ1286" s="3"/>
      <c r="AK1286" s="3"/>
      <c r="AL1286" s="3"/>
      <c r="AM1286" s="3"/>
      <c r="AN1286" s="3"/>
    </row>
    <row r="1287" spans="3:40">
      <c r="C1287" s="3"/>
      <c r="D1287" s="3"/>
      <c r="E1287" s="3"/>
      <c r="S1287" s="3"/>
      <c r="T1287" s="3"/>
      <c r="AI1287" s="3"/>
      <c r="AJ1287" s="3"/>
      <c r="AK1287" s="3"/>
      <c r="AL1287" s="3"/>
      <c r="AM1287" s="3"/>
      <c r="AN1287" s="3"/>
    </row>
    <row r="1288" spans="3:40">
      <c r="C1288" s="3"/>
      <c r="D1288" s="3"/>
      <c r="E1288" s="3"/>
      <c r="S1288" s="3"/>
      <c r="T1288" s="3"/>
      <c r="AI1288" s="3"/>
      <c r="AJ1288" s="3"/>
      <c r="AK1288" s="3"/>
      <c r="AL1288" s="3"/>
      <c r="AM1288" s="3"/>
      <c r="AN1288" s="3"/>
    </row>
    <row r="1289" spans="3:40">
      <c r="C1289" s="3"/>
      <c r="D1289" s="3"/>
      <c r="E1289" s="3"/>
      <c r="S1289" s="3"/>
      <c r="T1289" s="3"/>
      <c r="AI1289" s="3"/>
      <c r="AJ1289" s="3"/>
      <c r="AK1289" s="3"/>
      <c r="AL1289" s="3"/>
      <c r="AM1289" s="3"/>
      <c r="AN1289" s="3"/>
    </row>
    <row r="1290" spans="3:40">
      <c r="C1290" s="3"/>
      <c r="D1290" s="3"/>
      <c r="E1290" s="3"/>
      <c r="S1290" s="3"/>
      <c r="T1290" s="3"/>
      <c r="AI1290" s="3"/>
      <c r="AJ1290" s="3"/>
      <c r="AK1290" s="3"/>
      <c r="AL1290" s="3"/>
      <c r="AM1290" s="3"/>
      <c r="AN1290" s="3"/>
    </row>
    <row r="1291" spans="3:40">
      <c r="C1291" s="3"/>
      <c r="D1291" s="3"/>
      <c r="E1291" s="3"/>
      <c r="S1291" s="3"/>
      <c r="T1291" s="3"/>
      <c r="AI1291" s="3"/>
      <c r="AJ1291" s="3"/>
      <c r="AK1291" s="3"/>
      <c r="AL1291" s="3"/>
      <c r="AM1291" s="3"/>
      <c r="AN1291" s="3"/>
    </row>
    <row r="1292" spans="3:40">
      <c r="C1292" s="3"/>
      <c r="D1292" s="3"/>
      <c r="E1292" s="3"/>
      <c r="S1292" s="3"/>
      <c r="T1292" s="3"/>
      <c r="AI1292" s="3"/>
      <c r="AJ1292" s="3"/>
      <c r="AK1292" s="3"/>
      <c r="AL1292" s="3"/>
      <c r="AM1292" s="3"/>
      <c r="AN1292" s="3"/>
    </row>
    <row r="1293" spans="3:40">
      <c r="C1293" s="3"/>
      <c r="D1293" s="3"/>
      <c r="E1293" s="3"/>
      <c r="S1293" s="3"/>
      <c r="T1293" s="3"/>
      <c r="AI1293" s="3"/>
      <c r="AJ1293" s="3"/>
      <c r="AK1293" s="3"/>
      <c r="AL1293" s="3"/>
      <c r="AM1293" s="3"/>
      <c r="AN1293" s="3"/>
    </row>
    <row r="1294" spans="3:40">
      <c r="C1294" s="3"/>
      <c r="D1294" s="3"/>
      <c r="E1294" s="3"/>
      <c r="S1294" s="3"/>
      <c r="T1294" s="3"/>
      <c r="AI1294" s="3"/>
      <c r="AJ1294" s="3"/>
      <c r="AK1294" s="3"/>
      <c r="AL1294" s="3"/>
      <c r="AM1294" s="3"/>
      <c r="AN1294" s="3"/>
    </row>
    <row r="1295" spans="3:40">
      <c r="C1295" s="3"/>
      <c r="D1295" s="3"/>
      <c r="E1295" s="3"/>
      <c r="S1295" s="3"/>
      <c r="T1295" s="3"/>
      <c r="AI1295" s="3"/>
      <c r="AJ1295" s="3"/>
      <c r="AK1295" s="3"/>
      <c r="AL1295" s="3"/>
      <c r="AM1295" s="3"/>
      <c r="AN1295" s="3"/>
    </row>
    <row r="1296" spans="3:40">
      <c r="C1296" s="3"/>
      <c r="D1296" s="3"/>
      <c r="E1296" s="3"/>
      <c r="S1296" s="3"/>
      <c r="T1296" s="3"/>
      <c r="AI1296" s="3"/>
      <c r="AJ1296" s="3"/>
      <c r="AK1296" s="3"/>
      <c r="AL1296" s="3"/>
      <c r="AM1296" s="3"/>
      <c r="AN1296" s="3"/>
    </row>
    <row r="1297" spans="3:40">
      <c r="C1297" s="3"/>
      <c r="D1297" s="3"/>
      <c r="E1297" s="3"/>
      <c r="S1297" s="3"/>
      <c r="T1297" s="3"/>
      <c r="AI1297" s="3"/>
      <c r="AJ1297" s="3"/>
      <c r="AK1297" s="3"/>
      <c r="AL1297" s="3"/>
      <c r="AM1297" s="3"/>
      <c r="AN1297" s="3"/>
    </row>
    <row r="1298" spans="3:40">
      <c r="C1298" s="3"/>
      <c r="D1298" s="3"/>
      <c r="E1298" s="3"/>
      <c r="S1298" s="3"/>
      <c r="T1298" s="3"/>
      <c r="AI1298" s="3"/>
      <c r="AJ1298" s="3"/>
      <c r="AK1298" s="3"/>
      <c r="AL1298" s="3"/>
      <c r="AM1298" s="3"/>
      <c r="AN1298" s="3"/>
    </row>
    <row r="1299" spans="3:40">
      <c r="C1299" s="3"/>
      <c r="D1299" s="3"/>
      <c r="E1299" s="3"/>
      <c r="S1299" s="3"/>
      <c r="T1299" s="3"/>
      <c r="AI1299" s="3"/>
      <c r="AJ1299" s="3"/>
      <c r="AK1299" s="3"/>
      <c r="AL1299" s="3"/>
      <c r="AM1299" s="3"/>
      <c r="AN1299" s="3"/>
    </row>
    <row r="1300" spans="3:40">
      <c r="C1300" s="3"/>
      <c r="D1300" s="3"/>
      <c r="E1300" s="3"/>
      <c r="S1300" s="3"/>
      <c r="T1300" s="3"/>
      <c r="AI1300" s="3"/>
      <c r="AJ1300" s="3"/>
      <c r="AK1300" s="3"/>
      <c r="AL1300" s="3"/>
      <c r="AM1300" s="3"/>
      <c r="AN1300" s="3"/>
    </row>
    <row r="1301" spans="3:40">
      <c r="C1301" s="3"/>
      <c r="D1301" s="3"/>
      <c r="E1301" s="3"/>
      <c r="S1301" s="3"/>
      <c r="T1301" s="3"/>
      <c r="AI1301" s="3"/>
      <c r="AJ1301" s="3"/>
      <c r="AK1301" s="3"/>
      <c r="AL1301" s="3"/>
      <c r="AM1301" s="3"/>
      <c r="AN1301" s="3"/>
    </row>
    <row r="1302" spans="3:40">
      <c r="C1302" s="3"/>
      <c r="D1302" s="3"/>
      <c r="E1302" s="3"/>
      <c r="S1302" s="3"/>
      <c r="T1302" s="3"/>
      <c r="AI1302" s="3"/>
      <c r="AJ1302" s="3"/>
      <c r="AK1302" s="3"/>
      <c r="AL1302" s="3"/>
      <c r="AM1302" s="3"/>
      <c r="AN1302" s="3"/>
    </row>
    <row r="1303" spans="3:40">
      <c r="C1303" s="3"/>
      <c r="D1303" s="3"/>
      <c r="E1303" s="3"/>
      <c r="S1303" s="3"/>
      <c r="T1303" s="3"/>
      <c r="AI1303" s="3"/>
      <c r="AJ1303" s="3"/>
      <c r="AK1303" s="3"/>
      <c r="AL1303" s="3"/>
      <c r="AM1303" s="3"/>
      <c r="AN1303" s="3"/>
    </row>
    <row r="1304" spans="3:40">
      <c r="C1304" s="3"/>
      <c r="D1304" s="3"/>
      <c r="E1304" s="3"/>
      <c r="S1304" s="3"/>
      <c r="T1304" s="3"/>
      <c r="AI1304" s="3"/>
      <c r="AJ1304" s="3"/>
      <c r="AK1304" s="3"/>
      <c r="AL1304" s="3"/>
      <c r="AM1304" s="3"/>
      <c r="AN1304" s="3"/>
    </row>
    <row r="1305" spans="3:40">
      <c r="C1305" s="3"/>
      <c r="D1305" s="3"/>
      <c r="E1305" s="3"/>
      <c r="S1305" s="3"/>
      <c r="T1305" s="3"/>
      <c r="AI1305" s="3"/>
      <c r="AJ1305" s="3"/>
      <c r="AK1305" s="3"/>
      <c r="AL1305" s="3"/>
      <c r="AM1305" s="3"/>
      <c r="AN1305" s="3"/>
    </row>
    <row r="1306" spans="3:40">
      <c r="C1306" s="3"/>
      <c r="D1306" s="3"/>
      <c r="E1306" s="3"/>
      <c r="S1306" s="3"/>
      <c r="T1306" s="3"/>
      <c r="AI1306" s="3"/>
      <c r="AJ1306" s="3"/>
      <c r="AK1306" s="3"/>
      <c r="AL1306" s="3"/>
      <c r="AM1306" s="3"/>
      <c r="AN1306" s="3"/>
    </row>
    <row r="1307" spans="3:40">
      <c r="C1307" s="3"/>
      <c r="D1307" s="3"/>
      <c r="E1307" s="3"/>
      <c r="S1307" s="3"/>
      <c r="T1307" s="3"/>
      <c r="AI1307" s="3"/>
      <c r="AJ1307" s="3"/>
      <c r="AK1307" s="3"/>
      <c r="AL1307" s="3"/>
      <c r="AM1307" s="3"/>
      <c r="AN1307" s="3"/>
    </row>
    <row r="1308" spans="3:40">
      <c r="C1308" s="3"/>
      <c r="D1308" s="3"/>
      <c r="E1308" s="3"/>
      <c r="S1308" s="3"/>
      <c r="T1308" s="3"/>
      <c r="AI1308" s="3"/>
      <c r="AJ1308" s="3"/>
      <c r="AK1308" s="3"/>
      <c r="AL1308" s="3"/>
      <c r="AM1308" s="3"/>
      <c r="AN1308" s="3"/>
    </row>
    <row r="1309" spans="3:40">
      <c r="C1309" s="3"/>
      <c r="D1309" s="3"/>
      <c r="E1309" s="3"/>
      <c r="S1309" s="3"/>
      <c r="T1309" s="3"/>
      <c r="AI1309" s="3"/>
      <c r="AJ1309" s="3"/>
      <c r="AK1309" s="3"/>
      <c r="AL1309" s="3"/>
      <c r="AM1309" s="3"/>
      <c r="AN1309" s="3"/>
    </row>
    <row r="1310" spans="3:40">
      <c r="C1310" s="3"/>
      <c r="D1310" s="3"/>
      <c r="E1310" s="3"/>
      <c r="S1310" s="3"/>
      <c r="T1310" s="3"/>
      <c r="AI1310" s="3"/>
      <c r="AJ1310" s="3"/>
      <c r="AK1310" s="3"/>
      <c r="AL1310" s="3"/>
      <c r="AM1310" s="3"/>
      <c r="AN1310" s="3"/>
    </row>
    <row r="1311" spans="3:40">
      <c r="C1311" s="3"/>
      <c r="D1311" s="3"/>
      <c r="E1311" s="3"/>
      <c r="S1311" s="3"/>
      <c r="T1311" s="3"/>
      <c r="AI1311" s="3"/>
      <c r="AJ1311" s="3"/>
      <c r="AK1311" s="3"/>
      <c r="AL1311" s="3"/>
      <c r="AM1311" s="3"/>
      <c r="AN1311" s="3"/>
    </row>
    <row r="1312" spans="3:40">
      <c r="C1312" s="3"/>
      <c r="D1312" s="3"/>
      <c r="E1312" s="3"/>
      <c r="S1312" s="3"/>
      <c r="T1312" s="3"/>
      <c r="AI1312" s="3"/>
      <c r="AJ1312" s="3"/>
      <c r="AK1312" s="3"/>
      <c r="AL1312" s="3"/>
      <c r="AM1312" s="3"/>
      <c r="AN1312" s="3"/>
    </row>
    <row r="1313" spans="3:40">
      <c r="C1313" s="3"/>
      <c r="D1313" s="3"/>
      <c r="E1313" s="3"/>
      <c r="S1313" s="3"/>
      <c r="T1313" s="3"/>
      <c r="AI1313" s="3"/>
      <c r="AJ1313" s="3"/>
      <c r="AK1313" s="3"/>
      <c r="AL1313" s="3"/>
      <c r="AM1313" s="3"/>
      <c r="AN1313" s="3"/>
    </row>
    <row r="1314" spans="3:40">
      <c r="C1314" s="3"/>
      <c r="D1314" s="3"/>
      <c r="E1314" s="3"/>
      <c r="S1314" s="3"/>
      <c r="T1314" s="3"/>
      <c r="AI1314" s="3"/>
      <c r="AJ1314" s="3"/>
      <c r="AK1314" s="3"/>
      <c r="AL1314" s="3"/>
      <c r="AM1314" s="3"/>
      <c r="AN1314" s="3"/>
    </row>
    <row r="1315" spans="3:40">
      <c r="C1315" s="3"/>
      <c r="D1315" s="3"/>
      <c r="E1315" s="3"/>
      <c r="S1315" s="3"/>
      <c r="T1315" s="3"/>
      <c r="AI1315" s="3"/>
      <c r="AJ1315" s="3"/>
      <c r="AK1315" s="3"/>
      <c r="AL1315" s="3"/>
      <c r="AM1315" s="3"/>
      <c r="AN1315" s="3"/>
    </row>
    <row r="1316" spans="3:40">
      <c r="C1316" s="3"/>
      <c r="D1316" s="3"/>
      <c r="E1316" s="3"/>
      <c r="S1316" s="3"/>
      <c r="T1316" s="3"/>
      <c r="AI1316" s="3"/>
      <c r="AJ1316" s="3"/>
      <c r="AK1316" s="3"/>
      <c r="AL1316" s="3"/>
      <c r="AM1316" s="3"/>
      <c r="AN1316" s="3"/>
    </row>
    <row r="1317" spans="3:40">
      <c r="C1317" s="3"/>
      <c r="D1317" s="3"/>
      <c r="E1317" s="3"/>
      <c r="S1317" s="3"/>
      <c r="T1317" s="3"/>
      <c r="AI1317" s="3"/>
      <c r="AJ1317" s="3"/>
      <c r="AK1317" s="3"/>
      <c r="AL1317" s="3"/>
      <c r="AM1317" s="3"/>
      <c r="AN1317" s="3"/>
    </row>
    <row r="1318" spans="3:40">
      <c r="C1318" s="3"/>
      <c r="D1318" s="3"/>
      <c r="E1318" s="3"/>
      <c r="S1318" s="3"/>
      <c r="T1318" s="3"/>
      <c r="AI1318" s="3"/>
      <c r="AJ1318" s="3"/>
      <c r="AK1318" s="3"/>
      <c r="AL1318" s="3"/>
      <c r="AM1318" s="3"/>
      <c r="AN1318" s="3"/>
    </row>
    <row r="1319" spans="3:40">
      <c r="C1319" s="3"/>
      <c r="D1319" s="3"/>
      <c r="E1319" s="3"/>
      <c r="S1319" s="3"/>
      <c r="T1319" s="3"/>
      <c r="AI1319" s="3"/>
      <c r="AJ1319" s="3"/>
      <c r="AK1319" s="3"/>
      <c r="AL1319" s="3"/>
      <c r="AM1319" s="3"/>
      <c r="AN1319" s="3"/>
    </row>
    <row r="1320" spans="3:40">
      <c r="C1320" s="3"/>
      <c r="D1320" s="3"/>
      <c r="E1320" s="3"/>
      <c r="S1320" s="3"/>
      <c r="T1320" s="3"/>
      <c r="AI1320" s="3"/>
      <c r="AJ1320" s="3"/>
      <c r="AK1320" s="3"/>
      <c r="AL1320" s="3"/>
      <c r="AM1320" s="3"/>
      <c r="AN1320" s="3"/>
    </row>
    <row r="1321" spans="3:40">
      <c r="C1321" s="3"/>
      <c r="D1321" s="3"/>
      <c r="E1321" s="3"/>
      <c r="S1321" s="3"/>
      <c r="T1321" s="3"/>
      <c r="AI1321" s="3"/>
      <c r="AJ1321" s="3"/>
      <c r="AK1321" s="3"/>
      <c r="AL1321" s="3"/>
      <c r="AM1321" s="3"/>
      <c r="AN1321" s="3"/>
    </row>
    <row r="1322" spans="3:40">
      <c r="C1322" s="3"/>
      <c r="D1322" s="3"/>
      <c r="E1322" s="3"/>
      <c r="S1322" s="3"/>
      <c r="T1322" s="3"/>
      <c r="AI1322" s="3"/>
      <c r="AJ1322" s="3"/>
      <c r="AK1322" s="3"/>
      <c r="AL1322" s="3"/>
      <c r="AM1322" s="3"/>
      <c r="AN1322" s="3"/>
    </row>
    <row r="1323" spans="3:40">
      <c r="C1323" s="3"/>
      <c r="D1323" s="3"/>
      <c r="E1323" s="3"/>
      <c r="S1323" s="3"/>
      <c r="T1323" s="3"/>
      <c r="AI1323" s="3"/>
      <c r="AJ1323" s="3"/>
      <c r="AK1323" s="3"/>
      <c r="AL1323" s="3"/>
      <c r="AM1323" s="3"/>
      <c r="AN1323" s="3"/>
    </row>
    <row r="1324" spans="3:40">
      <c r="C1324" s="3"/>
      <c r="D1324" s="3"/>
      <c r="E1324" s="3"/>
      <c r="S1324" s="3"/>
      <c r="T1324" s="3"/>
      <c r="AI1324" s="3"/>
      <c r="AJ1324" s="3"/>
      <c r="AK1324" s="3"/>
      <c r="AL1324" s="3"/>
      <c r="AM1324" s="3"/>
      <c r="AN1324" s="3"/>
    </row>
    <row r="1325" spans="3:40">
      <c r="C1325" s="3"/>
      <c r="D1325" s="3"/>
      <c r="E1325" s="3"/>
      <c r="S1325" s="3"/>
      <c r="T1325" s="3"/>
      <c r="AI1325" s="3"/>
      <c r="AJ1325" s="3"/>
      <c r="AK1325" s="3"/>
      <c r="AL1325" s="3"/>
      <c r="AM1325" s="3"/>
      <c r="AN1325" s="3"/>
    </row>
    <row r="1326" spans="3:40">
      <c r="C1326" s="3"/>
      <c r="D1326" s="3"/>
      <c r="E1326" s="3"/>
      <c r="S1326" s="3"/>
      <c r="T1326" s="3"/>
      <c r="AI1326" s="3"/>
      <c r="AJ1326" s="3"/>
      <c r="AK1326" s="3"/>
      <c r="AL1326" s="3"/>
      <c r="AM1326" s="3"/>
      <c r="AN1326" s="3"/>
    </row>
    <row r="1327" spans="3:40">
      <c r="C1327" s="3"/>
      <c r="D1327" s="3"/>
      <c r="E1327" s="3"/>
      <c r="S1327" s="3"/>
      <c r="T1327" s="3"/>
      <c r="AI1327" s="3"/>
      <c r="AJ1327" s="3"/>
      <c r="AK1327" s="3"/>
      <c r="AL1327" s="3"/>
      <c r="AM1327" s="3"/>
      <c r="AN1327" s="3"/>
    </row>
    <row r="1328" spans="3:40">
      <c r="C1328" s="3"/>
      <c r="D1328" s="3"/>
      <c r="E1328" s="3"/>
      <c r="S1328" s="3"/>
      <c r="T1328" s="3"/>
      <c r="AI1328" s="3"/>
      <c r="AJ1328" s="3"/>
      <c r="AK1328" s="3"/>
      <c r="AL1328" s="3"/>
      <c r="AM1328" s="3"/>
      <c r="AN1328" s="3"/>
    </row>
    <row r="1329" spans="3:40">
      <c r="C1329" s="3"/>
      <c r="D1329" s="3"/>
      <c r="E1329" s="3"/>
      <c r="S1329" s="3"/>
      <c r="T1329" s="3"/>
      <c r="AI1329" s="3"/>
      <c r="AJ1329" s="3"/>
      <c r="AK1329" s="3"/>
      <c r="AL1329" s="3"/>
      <c r="AM1329" s="3"/>
      <c r="AN1329" s="3"/>
    </row>
    <row r="1330" spans="3:40">
      <c r="C1330" s="3"/>
      <c r="D1330" s="3"/>
      <c r="E1330" s="3"/>
      <c r="S1330" s="3"/>
      <c r="T1330" s="3"/>
      <c r="AI1330" s="3"/>
      <c r="AJ1330" s="3"/>
      <c r="AK1330" s="3"/>
      <c r="AL1330" s="3"/>
      <c r="AM1330" s="3"/>
      <c r="AN1330" s="3"/>
    </row>
    <row r="1331" spans="3:40">
      <c r="C1331" s="3"/>
      <c r="D1331" s="3"/>
      <c r="E1331" s="3"/>
      <c r="S1331" s="3"/>
      <c r="T1331" s="3"/>
      <c r="AI1331" s="3"/>
      <c r="AJ1331" s="3"/>
      <c r="AK1331" s="3"/>
      <c r="AL1331" s="3"/>
      <c r="AM1331" s="3"/>
      <c r="AN1331" s="3"/>
    </row>
    <row r="1332" spans="3:40">
      <c r="C1332" s="3"/>
      <c r="D1332" s="3"/>
      <c r="E1332" s="3"/>
      <c r="S1332" s="3"/>
      <c r="T1332" s="3"/>
      <c r="AI1332" s="3"/>
      <c r="AJ1332" s="3"/>
      <c r="AK1332" s="3"/>
      <c r="AL1332" s="3"/>
      <c r="AM1332" s="3"/>
      <c r="AN1332" s="3"/>
    </row>
    <row r="1333" spans="3:40">
      <c r="C1333" s="3"/>
      <c r="D1333" s="3"/>
      <c r="E1333" s="3"/>
      <c r="S1333" s="3"/>
      <c r="T1333" s="3"/>
      <c r="AI1333" s="3"/>
      <c r="AJ1333" s="3"/>
      <c r="AK1333" s="3"/>
      <c r="AL1333" s="3"/>
      <c r="AM1333" s="3"/>
      <c r="AN1333" s="3"/>
    </row>
    <row r="1334" spans="3:40">
      <c r="C1334" s="3"/>
      <c r="D1334" s="3"/>
      <c r="E1334" s="3"/>
      <c r="S1334" s="3"/>
      <c r="T1334" s="3"/>
      <c r="AI1334" s="3"/>
      <c r="AJ1334" s="3"/>
      <c r="AK1334" s="3"/>
      <c r="AL1334" s="3"/>
      <c r="AM1334" s="3"/>
      <c r="AN1334" s="3"/>
    </row>
    <row r="1335" spans="3:40">
      <c r="C1335" s="3"/>
      <c r="D1335" s="3"/>
      <c r="E1335" s="3"/>
      <c r="S1335" s="3"/>
      <c r="T1335" s="3"/>
      <c r="AI1335" s="3"/>
      <c r="AJ1335" s="3"/>
      <c r="AK1335" s="3"/>
      <c r="AL1335" s="3"/>
      <c r="AM1335" s="3"/>
      <c r="AN1335" s="3"/>
    </row>
    <row r="1336" spans="3:40">
      <c r="C1336" s="3"/>
      <c r="D1336" s="3"/>
      <c r="E1336" s="3"/>
      <c r="S1336" s="3"/>
      <c r="T1336" s="3"/>
      <c r="AI1336" s="3"/>
      <c r="AJ1336" s="3"/>
      <c r="AK1336" s="3"/>
      <c r="AL1336" s="3"/>
      <c r="AM1336" s="3"/>
      <c r="AN1336" s="3"/>
    </row>
    <row r="1337" spans="3:40">
      <c r="C1337" s="3"/>
      <c r="D1337" s="3"/>
      <c r="E1337" s="3"/>
      <c r="S1337" s="3"/>
      <c r="T1337" s="3"/>
      <c r="AI1337" s="3"/>
      <c r="AJ1337" s="3"/>
      <c r="AK1337" s="3"/>
      <c r="AL1337" s="3"/>
      <c r="AM1337" s="3"/>
      <c r="AN1337" s="3"/>
    </row>
    <row r="1338" spans="3:40">
      <c r="C1338" s="3"/>
      <c r="D1338" s="3"/>
      <c r="E1338" s="3"/>
      <c r="S1338" s="3"/>
      <c r="T1338" s="3"/>
      <c r="AI1338" s="3"/>
      <c r="AJ1338" s="3"/>
      <c r="AK1338" s="3"/>
      <c r="AL1338" s="3"/>
      <c r="AM1338" s="3"/>
      <c r="AN1338" s="3"/>
    </row>
    <row r="1339" spans="3:40">
      <c r="C1339" s="3"/>
      <c r="D1339" s="3"/>
      <c r="E1339" s="3"/>
      <c r="S1339" s="3"/>
      <c r="T1339" s="3"/>
      <c r="AI1339" s="3"/>
      <c r="AJ1339" s="3"/>
      <c r="AK1339" s="3"/>
      <c r="AL1339" s="3"/>
      <c r="AM1339" s="3"/>
      <c r="AN1339" s="3"/>
    </row>
    <row r="1340" spans="3:40">
      <c r="C1340" s="3"/>
      <c r="D1340" s="3"/>
      <c r="E1340" s="3"/>
      <c r="S1340" s="3"/>
      <c r="T1340" s="3"/>
      <c r="AI1340" s="3"/>
      <c r="AJ1340" s="3"/>
      <c r="AK1340" s="3"/>
      <c r="AL1340" s="3"/>
      <c r="AM1340" s="3"/>
      <c r="AN1340" s="3"/>
    </row>
    <row r="1341" spans="3:40">
      <c r="C1341" s="3"/>
      <c r="D1341" s="3"/>
      <c r="E1341" s="3"/>
      <c r="S1341" s="3"/>
      <c r="T1341" s="3"/>
      <c r="AI1341" s="3"/>
      <c r="AJ1341" s="3"/>
      <c r="AK1341" s="3"/>
      <c r="AL1341" s="3"/>
      <c r="AM1341" s="3"/>
      <c r="AN1341" s="3"/>
    </row>
    <row r="1342" spans="3:40">
      <c r="C1342" s="3"/>
      <c r="D1342" s="3"/>
      <c r="E1342" s="3"/>
      <c r="S1342" s="3"/>
      <c r="T1342" s="3"/>
      <c r="AI1342" s="3"/>
      <c r="AJ1342" s="3"/>
      <c r="AK1342" s="3"/>
      <c r="AL1342" s="3"/>
      <c r="AM1342" s="3"/>
      <c r="AN1342" s="3"/>
    </row>
    <row r="1343" spans="3:40">
      <c r="C1343" s="3"/>
      <c r="D1343" s="3"/>
      <c r="E1343" s="3"/>
      <c r="S1343" s="3"/>
      <c r="T1343" s="3"/>
      <c r="AI1343" s="3"/>
      <c r="AJ1343" s="3"/>
      <c r="AK1343" s="3"/>
      <c r="AL1343" s="3"/>
      <c r="AM1343" s="3"/>
      <c r="AN1343" s="3"/>
    </row>
    <row r="1344" spans="3:40">
      <c r="C1344" s="3"/>
      <c r="D1344" s="3"/>
      <c r="E1344" s="3"/>
      <c r="S1344" s="3"/>
      <c r="T1344" s="3"/>
      <c r="AI1344" s="3"/>
      <c r="AJ1344" s="3"/>
      <c r="AK1344" s="3"/>
      <c r="AL1344" s="3"/>
      <c r="AM1344" s="3"/>
      <c r="AN1344" s="3"/>
    </row>
    <row r="1345" spans="3:40">
      <c r="C1345" s="3"/>
      <c r="D1345" s="3"/>
      <c r="E1345" s="3"/>
      <c r="S1345" s="3"/>
      <c r="T1345" s="3"/>
      <c r="AI1345" s="3"/>
      <c r="AJ1345" s="3"/>
      <c r="AK1345" s="3"/>
      <c r="AL1345" s="3"/>
      <c r="AM1345" s="3"/>
      <c r="AN1345" s="3"/>
    </row>
    <row r="1346" spans="3:40">
      <c r="C1346" s="3"/>
      <c r="D1346" s="3"/>
      <c r="E1346" s="3"/>
      <c r="S1346" s="3"/>
      <c r="T1346" s="3"/>
      <c r="AI1346" s="3"/>
      <c r="AJ1346" s="3"/>
      <c r="AK1346" s="3"/>
      <c r="AL1346" s="3"/>
      <c r="AM1346" s="3"/>
      <c r="AN1346" s="3"/>
    </row>
    <row r="1347" spans="3:40">
      <c r="C1347" s="3"/>
      <c r="D1347" s="3"/>
      <c r="E1347" s="3"/>
      <c r="S1347" s="3"/>
      <c r="T1347" s="3"/>
      <c r="AI1347" s="3"/>
      <c r="AJ1347" s="3"/>
      <c r="AK1347" s="3"/>
      <c r="AL1347" s="3"/>
      <c r="AM1347" s="3"/>
      <c r="AN1347" s="3"/>
    </row>
    <row r="1348" spans="3:40">
      <c r="C1348" s="3"/>
      <c r="D1348" s="3"/>
      <c r="E1348" s="3"/>
      <c r="S1348" s="3"/>
      <c r="T1348" s="3"/>
      <c r="AI1348" s="3"/>
      <c r="AJ1348" s="3"/>
      <c r="AK1348" s="3"/>
      <c r="AL1348" s="3"/>
      <c r="AM1348" s="3"/>
      <c r="AN1348" s="3"/>
    </row>
    <row r="1349" spans="3:40">
      <c r="C1349" s="3"/>
      <c r="D1349" s="3"/>
      <c r="E1349" s="3"/>
      <c r="S1349" s="3"/>
      <c r="T1349" s="3"/>
      <c r="AI1349" s="3"/>
      <c r="AJ1349" s="3"/>
      <c r="AK1349" s="3"/>
      <c r="AL1349" s="3"/>
      <c r="AM1349" s="3"/>
      <c r="AN1349" s="3"/>
    </row>
    <row r="1350" spans="3:40">
      <c r="C1350" s="3"/>
      <c r="D1350" s="3"/>
      <c r="E1350" s="3"/>
      <c r="S1350" s="3"/>
      <c r="T1350" s="3"/>
      <c r="AI1350" s="3"/>
      <c r="AJ1350" s="3"/>
      <c r="AK1350" s="3"/>
      <c r="AL1350" s="3"/>
      <c r="AM1350" s="3"/>
      <c r="AN1350" s="3"/>
    </row>
    <row r="1351" spans="3:40">
      <c r="C1351" s="3"/>
      <c r="D1351" s="3"/>
      <c r="E1351" s="3"/>
      <c r="S1351" s="3"/>
      <c r="T1351" s="3"/>
      <c r="AI1351" s="3"/>
      <c r="AJ1351" s="3"/>
      <c r="AK1351" s="3"/>
      <c r="AL1351" s="3"/>
      <c r="AM1351" s="3"/>
      <c r="AN1351" s="3"/>
    </row>
    <row r="1352" spans="3:40">
      <c r="C1352" s="3"/>
      <c r="D1352" s="3"/>
      <c r="E1352" s="3"/>
      <c r="S1352" s="3"/>
      <c r="T1352" s="3"/>
      <c r="AI1352" s="3"/>
      <c r="AJ1352" s="3"/>
      <c r="AK1352" s="3"/>
      <c r="AL1352" s="3"/>
      <c r="AM1352" s="3"/>
      <c r="AN1352" s="3"/>
    </row>
    <row r="1353" spans="3:40">
      <c r="C1353" s="3"/>
      <c r="D1353" s="3"/>
      <c r="E1353" s="3"/>
      <c r="S1353" s="3"/>
      <c r="T1353" s="3"/>
      <c r="AI1353" s="3"/>
      <c r="AJ1353" s="3"/>
      <c r="AK1353" s="3"/>
      <c r="AL1353" s="3"/>
      <c r="AM1353" s="3"/>
      <c r="AN1353" s="3"/>
    </row>
    <row r="1354" spans="3:40">
      <c r="C1354" s="3"/>
      <c r="D1354" s="3"/>
      <c r="E1354" s="3"/>
      <c r="S1354" s="3"/>
      <c r="T1354" s="3"/>
      <c r="AI1354" s="3"/>
      <c r="AJ1354" s="3"/>
      <c r="AK1354" s="3"/>
      <c r="AL1354" s="3"/>
      <c r="AM1354" s="3"/>
      <c r="AN1354" s="3"/>
    </row>
    <row r="1355" spans="3:40">
      <c r="C1355" s="3"/>
      <c r="D1355" s="3"/>
      <c r="E1355" s="3"/>
      <c r="S1355" s="3"/>
      <c r="T1355" s="3"/>
      <c r="AI1355" s="3"/>
      <c r="AJ1355" s="3"/>
      <c r="AK1355" s="3"/>
      <c r="AL1355" s="3"/>
      <c r="AM1355" s="3"/>
      <c r="AN1355" s="3"/>
    </row>
    <row r="1356" spans="3:40">
      <c r="C1356" s="3"/>
      <c r="D1356" s="3"/>
      <c r="E1356" s="3"/>
      <c r="S1356" s="3"/>
      <c r="T1356" s="3"/>
      <c r="AI1356" s="3"/>
      <c r="AJ1356" s="3"/>
      <c r="AK1356" s="3"/>
      <c r="AL1356" s="3"/>
      <c r="AM1356" s="3"/>
      <c r="AN1356" s="3"/>
    </row>
    <row r="1357" spans="3:40">
      <c r="C1357" s="3"/>
      <c r="D1357" s="3"/>
      <c r="E1357" s="3"/>
      <c r="S1357" s="3"/>
      <c r="T1357" s="3"/>
      <c r="AI1357" s="3"/>
      <c r="AJ1357" s="3"/>
      <c r="AK1357" s="3"/>
      <c r="AL1357" s="3"/>
      <c r="AM1357" s="3"/>
      <c r="AN1357" s="3"/>
    </row>
    <row r="1358" spans="3:40">
      <c r="C1358" s="3"/>
      <c r="D1358" s="3"/>
      <c r="E1358" s="3"/>
      <c r="S1358" s="3"/>
      <c r="T1358" s="3"/>
      <c r="AI1358" s="3"/>
      <c r="AJ1358" s="3"/>
      <c r="AK1358" s="3"/>
      <c r="AL1358" s="3"/>
      <c r="AM1358" s="3"/>
      <c r="AN1358" s="3"/>
    </row>
    <row r="1359" spans="3:40">
      <c r="C1359" s="3"/>
      <c r="D1359" s="3"/>
      <c r="E1359" s="3"/>
      <c r="S1359" s="3"/>
      <c r="T1359" s="3"/>
      <c r="AI1359" s="3"/>
      <c r="AJ1359" s="3"/>
      <c r="AK1359" s="3"/>
      <c r="AL1359" s="3"/>
      <c r="AM1359" s="3"/>
      <c r="AN1359" s="3"/>
    </row>
    <row r="1360" spans="3:40">
      <c r="C1360" s="3"/>
      <c r="D1360" s="3"/>
      <c r="E1360" s="3"/>
      <c r="S1360" s="3"/>
      <c r="T1360" s="3"/>
      <c r="AI1360" s="3"/>
      <c r="AJ1360" s="3"/>
      <c r="AK1360" s="3"/>
      <c r="AL1360" s="3"/>
      <c r="AM1360" s="3"/>
      <c r="AN1360" s="3"/>
    </row>
    <row r="1361" spans="3:40">
      <c r="C1361" s="3"/>
      <c r="D1361" s="3"/>
      <c r="E1361" s="3"/>
      <c r="S1361" s="3"/>
      <c r="T1361" s="3"/>
      <c r="AI1361" s="3"/>
      <c r="AJ1361" s="3"/>
      <c r="AK1361" s="3"/>
      <c r="AL1361" s="3"/>
      <c r="AM1361" s="3"/>
      <c r="AN1361" s="3"/>
    </row>
    <row r="1362" spans="3:40">
      <c r="C1362" s="3"/>
      <c r="D1362" s="3"/>
      <c r="E1362" s="3"/>
      <c r="S1362" s="3"/>
      <c r="T1362" s="3"/>
      <c r="AI1362" s="3"/>
      <c r="AJ1362" s="3"/>
      <c r="AK1362" s="3"/>
      <c r="AL1362" s="3"/>
      <c r="AM1362" s="3"/>
      <c r="AN1362" s="3"/>
    </row>
    <row r="1363" spans="3:40">
      <c r="C1363" s="3"/>
      <c r="D1363" s="3"/>
      <c r="E1363" s="3"/>
      <c r="S1363" s="3"/>
      <c r="T1363" s="3"/>
      <c r="AI1363" s="3"/>
      <c r="AJ1363" s="3"/>
      <c r="AK1363" s="3"/>
      <c r="AL1363" s="3"/>
      <c r="AM1363" s="3"/>
      <c r="AN1363" s="3"/>
    </row>
    <row r="1364" spans="3:40">
      <c r="C1364" s="3"/>
      <c r="D1364" s="3"/>
      <c r="E1364" s="3"/>
      <c r="S1364" s="3"/>
      <c r="T1364" s="3"/>
      <c r="AI1364" s="3"/>
      <c r="AJ1364" s="3"/>
      <c r="AK1364" s="3"/>
      <c r="AL1364" s="3"/>
      <c r="AM1364" s="3"/>
      <c r="AN1364" s="3"/>
    </row>
    <row r="1365" spans="3:40">
      <c r="C1365" s="3"/>
      <c r="D1365" s="3"/>
      <c r="E1365" s="3"/>
      <c r="S1365" s="3"/>
      <c r="T1365" s="3"/>
      <c r="AI1365" s="3"/>
      <c r="AJ1365" s="3"/>
      <c r="AK1365" s="3"/>
      <c r="AL1365" s="3"/>
      <c r="AM1365" s="3"/>
      <c r="AN1365" s="3"/>
    </row>
    <row r="1366" spans="3:40">
      <c r="C1366" s="3"/>
      <c r="D1366" s="3"/>
      <c r="E1366" s="3"/>
      <c r="S1366" s="3"/>
      <c r="T1366" s="3"/>
      <c r="AI1366" s="3"/>
      <c r="AJ1366" s="3"/>
      <c r="AK1366" s="3"/>
      <c r="AL1366" s="3"/>
      <c r="AM1366" s="3"/>
      <c r="AN1366" s="3"/>
    </row>
    <row r="1367" spans="3:40">
      <c r="C1367" s="3"/>
      <c r="D1367" s="3"/>
      <c r="E1367" s="3"/>
      <c r="S1367" s="3"/>
      <c r="T1367" s="3"/>
      <c r="AI1367" s="3"/>
      <c r="AJ1367" s="3"/>
      <c r="AK1367" s="3"/>
      <c r="AL1367" s="3"/>
      <c r="AM1367" s="3"/>
      <c r="AN1367" s="3"/>
    </row>
    <row r="1368" spans="3:40">
      <c r="C1368" s="3"/>
      <c r="D1368" s="3"/>
      <c r="E1368" s="3"/>
      <c r="S1368" s="3"/>
      <c r="T1368" s="3"/>
      <c r="AI1368" s="3"/>
      <c r="AJ1368" s="3"/>
      <c r="AK1368" s="3"/>
      <c r="AL1368" s="3"/>
      <c r="AM1368" s="3"/>
      <c r="AN1368" s="3"/>
    </row>
    <row r="1369" spans="3:40">
      <c r="C1369" s="3"/>
      <c r="D1369" s="3"/>
      <c r="E1369" s="3"/>
      <c r="S1369" s="3"/>
      <c r="T1369" s="3"/>
      <c r="AI1369" s="3"/>
      <c r="AJ1369" s="3"/>
      <c r="AK1369" s="3"/>
      <c r="AL1369" s="3"/>
      <c r="AM1369" s="3"/>
      <c r="AN1369" s="3"/>
    </row>
    <row r="1370" spans="3:40">
      <c r="C1370" s="3"/>
      <c r="D1370" s="3"/>
      <c r="E1370" s="3"/>
      <c r="S1370" s="3"/>
      <c r="T1370" s="3"/>
      <c r="AI1370" s="3"/>
      <c r="AJ1370" s="3"/>
      <c r="AK1370" s="3"/>
      <c r="AL1370" s="3"/>
      <c r="AM1370" s="3"/>
      <c r="AN1370" s="3"/>
    </row>
    <row r="1371" spans="3:40">
      <c r="C1371" s="3"/>
      <c r="D1371" s="3"/>
      <c r="E1371" s="3"/>
      <c r="S1371" s="3"/>
      <c r="T1371" s="3"/>
      <c r="AI1371" s="3"/>
      <c r="AJ1371" s="3"/>
      <c r="AK1371" s="3"/>
      <c r="AL1371" s="3"/>
      <c r="AM1371" s="3"/>
      <c r="AN1371" s="3"/>
    </row>
    <row r="1372" spans="3:40">
      <c r="C1372" s="3"/>
      <c r="D1372" s="3"/>
      <c r="E1372" s="3"/>
      <c r="S1372" s="3"/>
      <c r="T1372" s="3"/>
      <c r="AI1372" s="3"/>
      <c r="AJ1372" s="3"/>
      <c r="AK1372" s="3"/>
      <c r="AL1372" s="3"/>
      <c r="AM1372" s="3"/>
      <c r="AN1372" s="3"/>
    </row>
    <row r="1373" spans="3:40">
      <c r="C1373" s="3"/>
      <c r="D1373" s="3"/>
      <c r="E1373" s="3"/>
      <c r="S1373" s="3"/>
      <c r="T1373" s="3"/>
      <c r="AI1373" s="3"/>
      <c r="AJ1373" s="3"/>
      <c r="AK1373" s="3"/>
      <c r="AL1373" s="3"/>
      <c r="AM1373" s="3"/>
      <c r="AN1373" s="3"/>
    </row>
    <row r="1374" spans="3:40">
      <c r="C1374" s="3"/>
      <c r="D1374" s="3"/>
      <c r="E1374" s="3"/>
      <c r="S1374" s="3"/>
      <c r="T1374" s="3"/>
      <c r="AI1374" s="3"/>
      <c r="AJ1374" s="3"/>
      <c r="AK1374" s="3"/>
      <c r="AL1374" s="3"/>
      <c r="AM1374" s="3"/>
      <c r="AN1374" s="3"/>
    </row>
    <row r="1375" spans="3:40">
      <c r="C1375" s="3"/>
      <c r="D1375" s="3"/>
      <c r="E1375" s="3"/>
      <c r="S1375" s="3"/>
      <c r="T1375" s="3"/>
      <c r="AI1375" s="3"/>
      <c r="AJ1375" s="3"/>
      <c r="AK1375" s="3"/>
      <c r="AL1375" s="3"/>
      <c r="AM1375" s="3"/>
      <c r="AN1375" s="3"/>
    </row>
    <row r="1376" spans="3:40">
      <c r="C1376" s="3"/>
      <c r="D1376" s="3"/>
      <c r="E1376" s="3"/>
      <c r="S1376" s="3"/>
      <c r="T1376" s="3"/>
      <c r="AI1376" s="3"/>
      <c r="AJ1376" s="3"/>
      <c r="AK1376" s="3"/>
      <c r="AL1376" s="3"/>
      <c r="AM1376" s="3"/>
      <c r="AN1376" s="3"/>
    </row>
    <row r="1377" spans="3:40">
      <c r="C1377" s="3"/>
      <c r="D1377" s="3"/>
      <c r="E1377" s="3"/>
      <c r="S1377" s="3"/>
      <c r="T1377" s="3"/>
      <c r="AI1377" s="3"/>
      <c r="AJ1377" s="3"/>
      <c r="AK1377" s="3"/>
      <c r="AL1377" s="3"/>
      <c r="AM1377" s="3"/>
      <c r="AN1377" s="3"/>
    </row>
    <row r="1378" spans="3:40">
      <c r="C1378" s="3"/>
      <c r="D1378" s="3"/>
      <c r="E1378" s="3"/>
      <c r="S1378" s="3"/>
      <c r="T1378" s="3"/>
      <c r="AI1378" s="3"/>
      <c r="AJ1378" s="3"/>
      <c r="AK1378" s="3"/>
      <c r="AL1378" s="3"/>
      <c r="AM1378" s="3"/>
      <c r="AN1378" s="3"/>
    </row>
    <row r="1379" spans="3:40">
      <c r="C1379" s="3"/>
      <c r="D1379" s="3"/>
      <c r="E1379" s="3"/>
      <c r="S1379" s="3"/>
      <c r="T1379" s="3"/>
      <c r="AI1379" s="3"/>
      <c r="AJ1379" s="3"/>
      <c r="AK1379" s="3"/>
      <c r="AL1379" s="3"/>
      <c r="AM1379" s="3"/>
      <c r="AN1379" s="3"/>
    </row>
    <row r="1380" spans="3:40">
      <c r="C1380" s="3"/>
      <c r="D1380" s="3"/>
      <c r="E1380" s="3"/>
      <c r="S1380" s="3"/>
      <c r="T1380" s="3"/>
      <c r="AI1380" s="3"/>
      <c r="AJ1380" s="3"/>
      <c r="AK1380" s="3"/>
      <c r="AL1380" s="3"/>
      <c r="AM1380" s="3"/>
      <c r="AN1380" s="3"/>
    </row>
    <row r="1381" spans="3:40">
      <c r="C1381" s="3"/>
      <c r="D1381" s="3"/>
      <c r="E1381" s="3"/>
      <c r="S1381" s="3"/>
      <c r="T1381" s="3"/>
      <c r="AI1381" s="3"/>
      <c r="AJ1381" s="3"/>
      <c r="AK1381" s="3"/>
      <c r="AL1381" s="3"/>
      <c r="AM1381" s="3"/>
      <c r="AN1381" s="3"/>
    </row>
    <row r="1382" spans="3:40">
      <c r="C1382" s="3"/>
      <c r="D1382" s="3"/>
      <c r="E1382" s="3"/>
      <c r="S1382" s="3"/>
      <c r="T1382" s="3"/>
      <c r="AI1382" s="3"/>
      <c r="AJ1382" s="3"/>
      <c r="AK1382" s="3"/>
      <c r="AL1382" s="3"/>
      <c r="AM1382" s="3"/>
      <c r="AN1382" s="3"/>
    </row>
    <row r="1383" spans="3:40">
      <c r="C1383" s="3"/>
      <c r="D1383" s="3"/>
      <c r="E1383" s="3"/>
      <c r="S1383" s="3"/>
      <c r="T1383" s="3"/>
      <c r="AI1383" s="3"/>
      <c r="AJ1383" s="3"/>
      <c r="AK1383" s="3"/>
      <c r="AL1383" s="3"/>
      <c r="AM1383" s="3"/>
      <c r="AN1383" s="3"/>
    </row>
    <row r="1384" spans="3:40">
      <c r="C1384" s="3"/>
      <c r="D1384" s="3"/>
      <c r="E1384" s="3"/>
      <c r="S1384" s="3"/>
      <c r="T1384" s="3"/>
      <c r="AI1384" s="3"/>
      <c r="AJ1384" s="3"/>
      <c r="AK1384" s="3"/>
      <c r="AL1384" s="3"/>
      <c r="AM1384" s="3"/>
      <c r="AN1384" s="3"/>
    </row>
    <row r="1385" spans="3:40">
      <c r="C1385" s="3"/>
      <c r="D1385" s="3"/>
      <c r="E1385" s="3"/>
      <c r="S1385" s="3"/>
      <c r="T1385" s="3"/>
      <c r="AI1385" s="3"/>
      <c r="AJ1385" s="3"/>
      <c r="AK1385" s="3"/>
      <c r="AL1385" s="3"/>
      <c r="AM1385" s="3"/>
      <c r="AN1385" s="3"/>
    </row>
    <row r="1386" spans="3:40">
      <c r="C1386" s="3"/>
      <c r="D1386" s="3"/>
      <c r="E1386" s="3"/>
      <c r="S1386" s="3"/>
      <c r="T1386" s="3"/>
      <c r="AI1386" s="3"/>
      <c r="AJ1386" s="3"/>
      <c r="AK1386" s="3"/>
      <c r="AL1386" s="3"/>
      <c r="AM1386" s="3"/>
      <c r="AN1386" s="3"/>
    </row>
    <row r="1387" spans="3:40">
      <c r="C1387" s="3"/>
      <c r="D1387" s="3"/>
      <c r="E1387" s="3"/>
      <c r="S1387" s="3"/>
      <c r="T1387" s="3"/>
      <c r="AI1387" s="3"/>
      <c r="AJ1387" s="3"/>
      <c r="AK1387" s="3"/>
      <c r="AL1387" s="3"/>
      <c r="AM1387" s="3"/>
      <c r="AN1387" s="3"/>
    </row>
    <row r="1388" spans="3:40">
      <c r="C1388" s="3"/>
      <c r="D1388" s="3"/>
      <c r="E1388" s="3"/>
      <c r="S1388" s="3"/>
      <c r="T1388" s="3"/>
      <c r="AI1388" s="3"/>
      <c r="AJ1388" s="3"/>
      <c r="AK1388" s="3"/>
      <c r="AL1388" s="3"/>
      <c r="AM1388" s="3"/>
      <c r="AN1388" s="3"/>
    </row>
    <row r="1389" spans="3:40">
      <c r="C1389" s="3"/>
      <c r="D1389" s="3"/>
      <c r="E1389" s="3"/>
      <c r="S1389" s="3"/>
      <c r="T1389" s="3"/>
      <c r="AI1389" s="3"/>
      <c r="AJ1389" s="3"/>
      <c r="AK1389" s="3"/>
      <c r="AL1389" s="3"/>
      <c r="AM1389" s="3"/>
      <c r="AN1389" s="3"/>
    </row>
    <row r="1390" spans="3:40">
      <c r="C1390" s="3"/>
      <c r="D1390" s="3"/>
      <c r="E1390" s="3"/>
      <c r="S1390" s="3"/>
      <c r="T1390" s="3"/>
      <c r="AI1390" s="3"/>
      <c r="AJ1390" s="3"/>
      <c r="AK1390" s="3"/>
      <c r="AL1390" s="3"/>
      <c r="AM1390" s="3"/>
      <c r="AN1390" s="3"/>
    </row>
    <row r="1391" spans="3:40">
      <c r="C1391" s="3"/>
      <c r="D1391" s="3"/>
      <c r="E1391" s="3"/>
      <c r="S1391" s="3"/>
      <c r="T1391" s="3"/>
      <c r="AI1391" s="3"/>
      <c r="AJ1391" s="3"/>
      <c r="AK1391" s="3"/>
      <c r="AL1391" s="3"/>
      <c r="AM1391" s="3"/>
      <c r="AN1391" s="3"/>
    </row>
    <row r="1392" spans="3:40">
      <c r="C1392" s="3"/>
      <c r="D1392" s="3"/>
      <c r="E1392" s="3"/>
      <c r="S1392" s="3"/>
      <c r="T1392" s="3"/>
      <c r="AI1392" s="3"/>
      <c r="AJ1392" s="3"/>
      <c r="AK1392" s="3"/>
      <c r="AL1392" s="3"/>
      <c r="AM1392" s="3"/>
      <c r="AN1392" s="3"/>
    </row>
    <row r="1393" spans="3:40">
      <c r="C1393" s="3"/>
      <c r="D1393" s="3"/>
      <c r="E1393" s="3"/>
      <c r="S1393" s="3"/>
      <c r="T1393" s="3"/>
      <c r="AI1393" s="3"/>
      <c r="AJ1393" s="3"/>
      <c r="AK1393" s="3"/>
      <c r="AL1393" s="3"/>
      <c r="AM1393" s="3"/>
      <c r="AN1393" s="3"/>
    </row>
    <row r="1394" spans="3:40">
      <c r="C1394" s="3"/>
      <c r="D1394" s="3"/>
      <c r="E1394" s="3"/>
      <c r="S1394" s="3"/>
      <c r="T1394" s="3"/>
      <c r="AI1394" s="3"/>
      <c r="AJ1394" s="3"/>
      <c r="AK1394" s="3"/>
      <c r="AL1394" s="3"/>
      <c r="AM1394" s="3"/>
      <c r="AN1394" s="3"/>
    </row>
    <row r="1395" spans="3:40">
      <c r="C1395" s="3"/>
      <c r="D1395" s="3"/>
      <c r="E1395" s="3"/>
      <c r="S1395" s="3"/>
      <c r="T1395" s="3"/>
      <c r="AI1395" s="3"/>
      <c r="AJ1395" s="3"/>
      <c r="AK1395" s="3"/>
      <c r="AL1395" s="3"/>
      <c r="AM1395" s="3"/>
      <c r="AN1395" s="3"/>
    </row>
    <row r="1396" spans="3:40">
      <c r="C1396" s="3"/>
      <c r="D1396" s="3"/>
      <c r="E1396" s="3"/>
      <c r="S1396" s="3"/>
      <c r="T1396" s="3"/>
      <c r="AI1396" s="3"/>
      <c r="AJ1396" s="3"/>
      <c r="AK1396" s="3"/>
      <c r="AL1396" s="3"/>
      <c r="AM1396" s="3"/>
      <c r="AN1396" s="3"/>
    </row>
    <row r="1397" spans="3:40">
      <c r="C1397" s="3"/>
      <c r="D1397" s="3"/>
      <c r="E1397" s="3"/>
      <c r="S1397" s="3"/>
      <c r="T1397" s="3"/>
      <c r="AI1397" s="3"/>
      <c r="AJ1397" s="3"/>
      <c r="AK1397" s="3"/>
      <c r="AL1397" s="3"/>
      <c r="AM1397" s="3"/>
      <c r="AN1397" s="3"/>
    </row>
    <row r="1398" spans="3:40">
      <c r="C1398" s="3"/>
      <c r="D1398" s="3"/>
      <c r="E1398" s="3"/>
      <c r="S1398" s="3"/>
      <c r="T1398" s="3"/>
      <c r="AI1398" s="3"/>
      <c r="AJ1398" s="3"/>
      <c r="AK1398" s="3"/>
      <c r="AL1398" s="3"/>
      <c r="AM1398" s="3"/>
      <c r="AN1398" s="3"/>
    </row>
    <row r="1399" spans="3:40">
      <c r="C1399" s="3"/>
      <c r="D1399" s="3"/>
      <c r="E1399" s="3"/>
      <c r="S1399" s="3"/>
      <c r="T1399" s="3"/>
      <c r="AI1399" s="3"/>
      <c r="AJ1399" s="3"/>
      <c r="AK1399" s="3"/>
      <c r="AL1399" s="3"/>
      <c r="AM1399" s="3"/>
      <c r="AN1399" s="3"/>
    </row>
    <row r="1400" spans="3:40">
      <c r="C1400" s="3"/>
      <c r="D1400" s="3"/>
      <c r="E1400" s="3"/>
      <c r="S1400" s="3"/>
      <c r="T1400" s="3"/>
      <c r="AI1400" s="3"/>
      <c r="AJ1400" s="3"/>
      <c r="AK1400" s="3"/>
      <c r="AL1400" s="3"/>
      <c r="AM1400" s="3"/>
      <c r="AN1400" s="3"/>
    </row>
    <row r="1401" spans="3:40">
      <c r="C1401" s="3"/>
      <c r="D1401" s="3"/>
      <c r="E1401" s="3"/>
      <c r="S1401" s="3"/>
      <c r="T1401" s="3"/>
      <c r="AI1401" s="3"/>
      <c r="AJ1401" s="3"/>
      <c r="AK1401" s="3"/>
      <c r="AL1401" s="3"/>
      <c r="AM1401" s="3"/>
      <c r="AN1401" s="3"/>
    </row>
    <row r="1402" spans="3:40">
      <c r="C1402" s="3"/>
      <c r="D1402" s="3"/>
      <c r="E1402" s="3"/>
      <c r="S1402" s="3"/>
      <c r="T1402" s="3"/>
      <c r="AI1402" s="3"/>
      <c r="AJ1402" s="3"/>
      <c r="AK1402" s="3"/>
      <c r="AL1402" s="3"/>
      <c r="AM1402" s="3"/>
      <c r="AN1402" s="3"/>
    </row>
    <row r="1403" spans="3:40">
      <c r="C1403" s="3"/>
      <c r="D1403" s="3"/>
      <c r="E1403" s="3"/>
      <c r="S1403" s="3"/>
      <c r="T1403" s="3"/>
      <c r="AI1403" s="3"/>
      <c r="AJ1403" s="3"/>
      <c r="AK1403" s="3"/>
      <c r="AL1403" s="3"/>
      <c r="AM1403" s="3"/>
      <c r="AN1403" s="3"/>
    </row>
    <row r="1404" spans="3:40">
      <c r="C1404" s="3"/>
      <c r="D1404" s="3"/>
      <c r="E1404" s="3"/>
      <c r="S1404" s="3"/>
      <c r="T1404" s="3"/>
      <c r="AI1404" s="3"/>
      <c r="AJ1404" s="3"/>
      <c r="AK1404" s="3"/>
      <c r="AL1404" s="3"/>
      <c r="AM1404" s="3"/>
      <c r="AN1404" s="3"/>
    </row>
    <row r="1405" spans="3:40">
      <c r="C1405" s="3"/>
      <c r="D1405" s="3"/>
      <c r="E1405" s="3"/>
      <c r="S1405" s="3"/>
      <c r="T1405" s="3"/>
      <c r="AI1405" s="3"/>
      <c r="AJ1405" s="3"/>
      <c r="AK1405" s="3"/>
      <c r="AL1405" s="3"/>
      <c r="AM1405" s="3"/>
      <c r="AN1405" s="3"/>
    </row>
    <row r="1406" spans="3:40">
      <c r="C1406" s="3"/>
      <c r="D1406" s="3"/>
      <c r="E1406" s="3"/>
      <c r="S1406" s="3"/>
      <c r="T1406" s="3"/>
      <c r="AI1406" s="3"/>
      <c r="AJ1406" s="3"/>
      <c r="AK1406" s="3"/>
      <c r="AL1406" s="3"/>
      <c r="AM1406" s="3"/>
      <c r="AN1406" s="3"/>
    </row>
    <row r="1407" spans="3:40">
      <c r="C1407" s="3"/>
      <c r="D1407" s="3"/>
      <c r="E1407" s="3"/>
      <c r="S1407" s="3"/>
      <c r="T1407" s="3"/>
      <c r="AI1407" s="3"/>
      <c r="AJ1407" s="3"/>
      <c r="AK1407" s="3"/>
      <c r="AL1407" s="3"/>
      <c r="AM1407" s="3"/>
      <c r="AN1407" s="3"/>
    </row>
    <row r="1408" spans="3:40">
      <c r="C1408" s="3"/>
      <c r="D1408" s="3"/>
      <c r="E1408" s="3"/>
      <c r="S1408" s="3"/>
      <c r="T1408" s="3"/>
      <c r="AI1408" s="3"/>
      <c r="AJ1408" s="3"/>
      <c r="AK1408" s="3"/>
      <c r="AL1408" s="3"/>
      <c r="AM1408" s="3"/>
      <c r="AN1408" s="3"/>
    </row>
    <row r="1409" spans="3:40">
      <c r="C1409" s="3"/>
      <c r="D1409" s="3"/>
      <c r="E1409" s="3"/>
      <c r="S1409" s="3"/>
      <c r="T1409" s="3"/>
      <c r="AI1409" s="3"/>
      <c r="AJ1409" s="3"/>
      <c r="AK1409" s="3"/>
      <c r="AL1409" s="3"/>
      <c r="AM1409" s="3"/>
      <c r="AN1409" s="3"/>
    </row>
    <row r="1410" spans="3:40">
      <c r="C1410" s="3"/>
      <c r="D1410" s="3"/>
      <c r="E1410" s="3"/>
      <c r="S1410" s="3"/>
      <c r="T1410" s="3"/>
      <c r="AI1410" s="3"/>
      <c r="AJ1410" s="3"/>
      <c r="AK1410" s="3"/>
      <c r="AL1410" s="3"/>
      <c r="AM1410" s="3"/>
      <c r="AN1410" s="3"/>
    </row>
    <row r="1411" spans="3:40">
      <c r="C1411" s="3"/>
      <c r="D1411" s="3"/>
      <c r="E1411" s="3"/>
      <c r="S1411" s="3"/>
      <c r="T1411" s="3"/>
      <c r="AI1411" s="3"/>
      <c r="AJ1411" s="3"/>
      <c r="AK1411" s="3"/>
      <c r="AL1411" s="3"/>
      <c r="AM1411" s="3"/>
      <c r="AN1411" s="3"/>
    </row>
    <row r="1412" spans="3:40">
      <c r="C1412" s="3"/>
      <c r="D1412" s="3"/>
      <c r="E1412" s="3"/>
      <c r="S1412" s="3"/>
      <c r="T1412" s="3"/>
      <c r="AI1412" s="3"/>
      <c r="AJ1412" s="3"/>
      <c r="AK1412" s="3"/>
      <c r="AL1412" s="3"/>
      <c r="AM1412" s="3"/>
      <c r="AN1412" s="3"/>
    </row>
    <row r="1413" spans="3:40">
      <c r="C1413" s="3"/>
      <c r="D1413" s="3"/>
      <c r="E1413" s="3"/>
      <c r="S1413" s="3"/>
      <c r="T1413" s="3"/>
      <c r="AI1413" s="3"/>
      <c r="AJ1413" s="3"/>
      <c r="AK1413" s="3"/>
      <c r="AL1413" s="3"/>
      <c r="AM1413" s="3"/>
      <c r="AN1413" s="3"/>
    </row>
    <row r="1414" spans="3:40">
      <c r="C1414" s="3"/>
      <c r="D1414" s="3"/>
      <c r="E1414" s="3"/>
      <c r="S1414" s="3"/>
      <c r="T1414" s="3"/>
      <c r="AI1414" s="3"/>
      <c r="AJ1414" s="3"/>
      <c r="AK1414" s="3"/>
      <c r="AL1414" s="3"/>
      <c r="AM1414" s="3"/>
      <c r="AN1414" s="3"/>
    </row>
    <row r="1415" spans="3:40">
      <c r="C1415" s="3"/>
      <c r="D1415" s="3"/>
      <c r="E1415" s="3"/>
      <c r="S1415" s="3"/>
      <c r="T1415" s="3"/>
      <c r="AI1415" s="3"/>
      <c r="AJ1415" s="3"/>
      <c r="AK1415" s="3"/>
      <c r="AL1415" s="3"/>
      <c r="AM1415" s="3"/>
      <c r="AN1415" s="3"/>
    </row>
    <row r="1416" spans="3:40">
      <c r="C1416" s="3"/>
      <c r="D1416" s="3"/>
      <c r="E1416" s="3"/>
      <c r="S1416" s="3"/>
      <c r="T1416" s="3"/>
      <c r="AI1416" s="3"/>
      <c r="AJ1416" s="3"/>
      <c r="AK1416" s="3"/>
      <c r="AL1416" s="3"/>
      <c r="AM1416" s="3"/>
      <c r="AN1416" s="3"/>
    </row>
    <row r="1417" spans="3:40">
      <c r="C1417" s="3"/>
      <c r="D1417" s="3"/>
      <c r="E1417" s="3"/>
      <c r="S1417" s="3"/>
      <c r="T1417" s="3"/>
      <c r="AI1417" s="3"/>
      <c r="AJ1417" s="3"/>
      <c r="AK1417" s="3"/>
      <c r="AL1417" s="3"/>
      <c r="AM1417" s="3"/>
      <c r="AN1417" s="3"/>
    </row>
    <row r="1418" spans="3:40">
      <c r="C1418" s="3"/>
      <c r="D1418" s="3"/>
      <c r="E1418" s="3"/>
      <c r="S1418" s="3"/>
      <c r="T1418" s="3"/>
      <c r="AI1418" s="3"/>
      <c r="AJ1418" s="3"/>
      <c r="AK1418" s="3"/>
      <c r="AL1418" s="3"/>
      <c r="AM1418" s="3"/>
      <c r="AN1418" s="3"/>
    </row>
    <row r="1419" spans="3:40">
      <c r="C1419" s="3"/>
      <c r="D1419" s="3"/>
      <c r="E1419" s="3"/>
      <c r="S1419" s="3"/>
      <c r="T1419" s="3"/>
      <c r="AI1419" s="3"/>
      <c r="AJ1419" s="3"/>
      <c r="AK1419" s="3"/>
      <c r="AL1419" s="3"/>
      <c r="AM1419" s="3"/>
      <c r="AN1419" s="3"/>
    </row>
    <row r="1420" spans="3:40">
      <c r="C1420" s="3"/>
      <c r="D1420" s="3"/>
      <c r="E1420" s="3"/>
      <c r="S1420" s="3"/>
      <c r="T1420" s="3"/>
      <c r="AI1420" s="3"/>
      <c r="AJ1420" s="3"/>
      <c r="AK1420" s="3"/>
      <c r="AL1420" s="3"/>
      <c r="AM1420" s="3"/>
      <c r="AN1420" s="3"/>
    </row>
    <row r="1421" spans="3:40">
      <c r="C1421" s="3"/>
      <c r="D1421" s="3"/>
      <c r="E1421" s="3"/>
      <c r="S1421" s="3"/>
      <c r="T1421" s="3"/>
      <c r="AI1421" s="3"/>
      <c r="AJ1421" s="3"/>
      <c r="AK1421" s="3"/>
      <c r="AL1421" s="3"/>
      <c r="AM1421" s="3"/>
      <c r="AN1421" s="3"/>
    </row>
    <row r="1422" spans="3:40">
      <c r="C1422" s="3"/>
      <c r="D1422" s="3"/>
      <c r="E1422" s="3"/>
      <c r="S1422" s="3"/>
      <c r="T1422" s="3"/>
      <c r="AI1422" s="3"/>
      <c r="AJ1422" s="3"/>
      <c r="AK1422" s="3"/>
      <c r="AL1422" s="3"/>
      <c r="AM1422" s="3"/>
      <c r="AN1422" s="3"/>
    </row>
    <row r="1423" spans="3:40">
      <c r="C1423" s="3"/>
      <c r="D1423" s="3"/>
      <c r="E1423" s="3"/>
      <c r="S1423" s="3"/>
      <c r="T1423" s="3"/>
      <c r="AI1423" s="3"/>
      <c r="AJ1423" s="3"/>
      <c r="AK1423" s="3"/>
      <c r="AL1423" s="3"/>
      <c r="AM1423" s="3"/>
      <c r="AN1423" s="3"/>
    </row>
    <row r="1424" spans="3:40">
      <c r="C1424" s="3"/>
      <c r="D1424" s="3"/>
      <c r="E1424" s="3"/>
      <c r="S1424" s="3"/>
      <c r="T1424" s="3"/>
      <c r="AI1424" s="3"/>
      <c r="AJ1424" s="3"/>
      <c r="AK1424" s="3"/>
      <c r="AL1424" s="3"/>
      <c r="AM1424" s="3"/>
      <c r="AN1424" s="3"/>
    </row>
    <row r="1425" spans="3:40">
      <c r="C1425" s="3"/>
      <c r="D1425" s="3"/>
      <c r="E1425" s="3"/>
      <c r="S1425" s="3"/>
      <c r="T1425" s="3"/>
      <c r="AI1425" s="3"/>
      <c r="AJ1425" s="3"/>
      <c r="AK1425" s="3"/>
      <c r="AL1425" s="3"/>
      <c r="AM1425" s="3"/>
      <c r="AN1425" s="3"/>
    </row>
    <row r="1426" spans="3:40">
      <c r="C1426" s="3"/>
      <c r="D1426" s="3"/>
      <c r="E1426" s="3"/>
      <c r="S1426" s="3"/>
      <c r="T1426" s="3"/>
      <c r="AI1426" s="3"/>
      <c r="AJ1426" s="3"/>
      <c r="AK1426" s="3"/>
      <c r="AL1426" s="3"/>
      <c r="AM1426" s="3"/>
      <c r="AN1426" s="3"/>
    </row>
    <row r="1427" spans="3:40">
      <c r="C1427" s="3"/>
      <c r="D1427" s="3"/>
      <c r="E1427" s="3"/>
      <c r="S1427" s="3"/>
      <c r="T1427" s="3"/>
      <c r="AI1427" s="3"/>
      <c r="AJ1427" s="3"/>
      <c r="AK1427" s="3"/>
      <c r="AL1427" s="3"/>
      <c r="AM1427" s="3"/>
      <c r="AN1427" s="3"/>
    </row>
    <row r="1428" spans="3:40">
      <c r="C1428" s="3"/>
      <c r="D1428" s="3"/>
      <c r="E1428" s="3"/>
      <c r="S1428" s="3"/>
      <c r="T1428" s="3"/>
      <c r="AI1428" s="3"/>
      <c r="AJ1428" s="3"/>
      <c r="AK1428" s="3"/>
      <c r="AL1428" s="3"/>
      <c r="AM1428" s="3"/>
      <c r="AN1428" s="3"/>
    </row>
    <row r="1429" spans="3:40">
      <c r="C1429" s="3"/>
      <c r="D1429" s="3"/>
      <c r="E1429" s="3"/>
      <c r="S1429" s="3"/>
      <c r="T1429" s="3"/>
      <c r="AI1429" s="3"/>
      <c r="AJ1429" s="3"/>
      <c r="AK1429" s="3"/>
      <c r="AL1429" s="3"/>
      <c r="AM1429" s="3"/>
      <c r="AN1429" s="3"/>
    </row>
    <row r="1430" spans="3:40">
      <c r="C1430" s="3"/>
      <c r="D1430" s="3"/>
      <c r="E1430" s="3"/>
      <c r="S1430" s="3"/>
      <c r="T1430" s="3"/>
      <c r="AI1430" s="3"/>
      <c r="AJ1430" s="3"/>
      <c r="AK1430" s="3"/>
      <c r="AL1430" s="3"/>
      <c r="AM1430" s="3"/>
      <c r="AN1430" s="3"/>
    </row>
    <row r="1431" spans="3:40">
      <c r="C1431" s="3"/>
      <c r="D1431" s="3"/>
      <c r="E1431" s="3"/>
      <c r="S1431" s="3"/>
      <c r="T1431" s="3"/>
      <c r="AI1431" s="3"/>
      <c r="AJ1431" s="3"/>
      <c r="AK1431" s="3"/>
      <c r="AL1431" s="3"/>
      <c r="AM1431" s="3"/>
      <c r="AN1431" s="3"/>
    </row>
    <row r="1432" spans="3:40">
      <c r="C1432" s="3"/>
      <c r="D1432" s="3"/>
      <c r="E1432" s="3"/>
      <c r="S1432" s="3"/>
      <c r="T1432" s="3"/>
      <c r="AI1432" s="3"/>
      <c r="AJ1432" s="3"/>
      <c r="AK1432" s="3"/>
      <c r="AL1432" s="3"/>
      <c r="AM1432" s="3"/>
      <c r="AN1432" s="3"/>
    </row>
    <row r="1433" spans="3:40">
      <c r="C1433" s="3"/>
      <c r="D1433" s="3"/>
      <c r="E1433" s="3"/>
      <c r="S1433" s="3"/>
      <c r="T1433" s="3"/>
      <c r="AI1433" s="3"/>
      <c r="AJ1433" s="3"/>
      <c r="AK1433" s="3"/>
      <c r="AL1433" s="3"/>
      <c r="AM1433" s="3"/>
      <c r="AN1433" s="3"/>
    </row>
    <row r="1434" spans="3:40">
      <c r="C1434" s="3"/>
      <c r="D1434" s="3"/>
      <c r="E1434" s="3"/>
      <c r="S1434" s="3"/>
      <c r="T1434" s="3"/>
      <c r="AI1434" s="3"/>
      <c r="AJ1434" s="3"/>
      <c r="AK1434" s="3"/>
      <c r="AL1434" s="3"/>
      <c r="AM1434" s="3"/>
      <c r="AN1434" s="3"/>
    </row>
    <row r="1435" spans="3:40">
      <c r="C1435" s="3"/>
      <c r="D1435" s="3"/>
      <c r="E1435" s="3"/>
      <c r="S1435" s="3"/>
      <c r="T1435" s="3"/>
      <c r="AI1435" s="3"/>
      <c r="AJ1435" s="3"/>
      <c r="AK1435" s="3"/>
      <c r="AL1435" s="3"/>
      <c r="AM1435" s="3"/>
      <c r="AN1435" s="3"/>
    </row>
    <row r="1436" spans="3:40">
      <c r="C1436" s="3"/>
      <c r="D1436" s="3"/>
      <c r="E1436" s="3"/>
      <c r="S1436" s="3"/>
      <c r="T1436" s="3"/>
      <c r="AI1436" s="3"/>
      <c r="AJ1436" s="3"/>
      <c r="AK1436" s="3"/>
      <c r="AL1436" s="3"/>
      <c r="AM1436" s="3"/>
      <c r="AN1436" s="3"/>
    </row>
    <row r="1437" spans="3:40">
      <c r="C1437" s="3"/>
      <c r="D1437" s="3"/>
      <c r="E1437" s="3"/>
      <c r="S1437" s="3"/>
      <c r="T1437" s="3"/>
      <c r="AI1437" s="3"/>
      <c r="AJ1437" s="3"/>
      <c r="AK1437" s="3"/>
      <c r="AL1437" s="3"/>
      <c r="AM1437" s="3"/>
      <c r="AN1437" s="3"/>
    </row>
    <row r="1438" spans="3:40">
      <c r="C1438" s="3"/>
      <c r="D1438" s="3"/>
      <c r="E1438" s="3"/>
      <c r="S1438" s="3"/>
      <c r="T1438" s="3"/>
      <c r="AI1438" s="3"/>
      <c r="AJ1438" s="3"/>
      <c r="AK1438" s="3"/>
      <c r="AL1438" s="3"/>
      <c r="AM1438" s="3"/>
      <c r="AN1438" s="3"/>
    </row>
    <row r="1439" spans="3:40">
      <c r="C1439" s="3"/>
      <c r="D1439" s="3"/>
      <c r="E1439" s="3"/>
      <c r="S1439" s="3"/>
      <c r="T1439" s="3"/>
      <c r="AI1439" s="3"/>
      <c r="AJ1439" s="3"/>
      <c r="AK1439" s="3"/>
      <c r="AL1439" s="3"/>
      <c r="AM1439" s="3"/>
      <c r="AN1439" s="3"/>
    </row>
    <row r="1440" spans="3:40">
      <c r="C1440" s="3"/>
      <c r="D1440" s="3"/>
      <c r="E1440" s="3"/>
      <c r="S1440" s="3"/>
      <c r="T1440" s="3"/>
      <c r="AI1440" s="3"/>
      <c r="AJ1440" s="3"/>
      <c r="AK1440" s="3"/>
      <c r="AL1440" s="3"/>
      <c r="AM1440" s="3"/>
      <c r="AN1440" s="3"/>
    </row>
    <row r="1441" spans="3:40">
      <c r="C1441" s="3"/>
      <c r="D1441" s="3"/>
      <c r="E1441" s="3"/>
      <c r="S1441" s="3"/>
      <c r="T1441" s="3"/>
      <c r="AI1441" s="3"/>
      <c r="AJ1441" s="3"/>
      <c r="AK1441" s="3"/>
      <c r="AL1441" s="3"/>
      <c r="AM1441" s="3"/>
      <c r="AN1441" s="3"/>
    </row>
    <row r="1442" spans="3:40">
      <c r="C1442" s="3"/>
      <c r="D1442" s="3"/>
      <c r="E1442" s="3"/>
      <c r="S1442" s="3"/>
      <c r="T1442" s="3"/>
      <c r="AI1442" s="3"/>
      <c r="AJ1442" s="3"/>
      <c r="AK1442" s="3"/>
      <c r="AL1442" s="3"/>
      <c r="AM1442" s="3"/>
      <c r="AN1442" s="3"/>
    </row>
    <row r="1443" spans="3:40">
      <c r="C1443" s="3"/>
      <c r="D1443" s="3"/>
      <c r="E1443" s="3"/>
      <c r="S1443" s="3"/>
      <c r="T1443" s="3"/>
      <c r="AI1443" s="3"/>
      <c r="AJ1443" s="3"/>
      <c r="AK1443" s="3"/>
      <c r="AL1443" s="3"/>
      <c r="AM1443" s="3"/>
      <c r="AN1443" s="3"/>
    </row>
    <row r="1444" spans="3:40">
      <c r="C1444" s="3"/>
      <c r="D1444" s="3"/>
      <c r="E1444" s="3"/>
      <c r="S1444" s="3"/>
      <c r="T1444" s="3"/>
      <c r="AI1444" s="3"/>
      <c r="AJ1444" s="3"/>
      <c r="AK1444" s="3"/>
      <c r="AL1444" s="3"/>
      <c r="AM1444" s="3"/>
      <c r="AN1444" s="3"/>
    </row>
    <row r="1445" spans="3:40">
      <c r="C1445" s="3"/>
      <c r="D1445" s="3"/>
      <c r="E1445" s="3"/>
      <c r="S1445" s="3"/>
      <c r="T1445" s="3"/>
      <c r="AI1445" s="3"/>
      <c r="AJ1445" s="3"/>
      <c r="AK1445" s="3"/>
      <c r="AL1445" s="3"/>
      <c r="AM1445" s="3"/>
      <c r="AN1445" s="3"/>
    </row>
    <row r="1446" spans="3:40">
      <c r="C1446" s="3"/>
      <c r="D1446" s="3"/>
      <c r="E1446" s="3"/>
      <c r="S1446" s="3"/>
      <c r="T1446" s="3"/>
      <c r="AI1446" s="3"/>
      <c r="AJ1446" s="3"/>
      <c r="AK1446" s="3"/>
      <c r="AL1446" s="3"/>
      <c r="AM1446" s="3"/>
      <c r="AN1446" s="3"/>
    </row>
    <row r="1447" spans="3:40">
      <c r="C1447" s="3"/>
      <c r="D1447" s="3"/>
      <c r="E1447" s="3"/>
      <c r="S1447" s="3"/>
      <c r="T1447" s="3"/>
      <c r="AI1447" s="3"/>
      <c r="AJ1447" s="3"/>
      <c r="AK1447" s="3"/>
      <c r="AL1447" s="3"/>
      <c r="AM1447" s="3"/>
      <c r="AN1447" s="3"/>
    </row>
    <row r="1448" spans="3:40">
      <c r="C1448" s="3"/>
      <c r="D1448" s="3"/>
      <c r="E1448" s="3"/>
      <c r="S1448" s="3"/>
      <c r="T1448" s="3"/>
      <c r="AI1448" s="3"/>
      <c r="AJ1448" s="3"/>
      <c r="AK1448" s="3"/>
      <c r="AL1448" s="3"/>
      <c r="AM1448" s="3"/>
      <c r="AN1448" s="3"/>
    </row>
    <row r="1449" spans="3:40">
      <c r="C1449" s="3"/>
      <c r="D1449" s="3"/>
      <c r="E1449" s="3"/>
      <c r="S1449" s="3"/>
      <c r="T1449" s="3"/>
      <c r="AI1449" s="3"/>
      <c r="AJ1449" s="3"/>
      <c r="AK1449" s="3"/>
      <c r="AL1449" s="3"/>
      <c r="AM1449" s="3"/>
      <c r="AN1449" s="3"/>
    </row>
    <row r="1450" spans="3:40">
      <c r="C1450" s="3"/>
      <c r="D1450" s="3"/>
      <c r="E1450" s="3"/>
      <c r="S1450" s="3"/>
      <c r="T1450" s="3"/>
      <c r="AI1450" s="3"/>
      <c r="AJ1450" s="3"/>
      <c r="AK1450" s="3"/>
      <c r="AL1450" s="3"/>
      <c r="AM1450" s="3"/>
      <c r="AN1450" s="3"/>
    </row>
    <row r="1451" spans="3:40">
      <c r="C1451" s="3"/>
      <c r="D1451" s="3"/>
      <c r="E1451" s="3"/>
      <c r="S1451" s="3"/>
      <c r="T1451" s="3"/>
      <c r="AI1451" s="3"/>
      <c r="AJ1451" s="3"/>
      <c r="AK1451" s="3"/>
      <c r="AL1451" s="3"/>
      <c r="AM1451" s="3"/>
      <c r="AN1451" s="3"/>
    </row>
    <row r="1452" spans="3:40">
      <c r="C1452" s="3"/>
      <c r="D1452" s="3"/>
      <c r="E1452" s="3"/>
      <c r="S1452" s="3"/>
      <c r="T1452" s="3"/>
      <c r="AI1452" s="3"/>
      <c r="AJ1452" s="3"/>
      <c r="AK1452" s="3"/>
      <c r="AL1452" s="3"/>
      <c r="AM1452" s="3"/>
      <c r="AN1452" s="3"/>
    </row>
    <row r="1453" spans="3:40">
      <c r="C1453" s="3"/>
      <c r="D1453" s="3"/>
      <c r="E1453" s="3"/>
      <c r="S1453" s="3"/>
      <c r="T1453" s="3"/>
      <c r="AI1453" s="3"/>
      <c r="AJ1453" s="3"/>
      <c r="AK1453" s="3"/>
      <c r="AL1453" s="3"/>
      <c r="AM1453" s="3"/>
      <c r="AN1453" s="3"/>
    </row>
    <row r="1454" spans="3:40">
      <c r="C1454" s="3"/>
      <c r="D1454" s="3"/>
      <c r="E1454" s="3"/>
      <c r="S1454" s="3"/>
      <c r="T1454" s="3"/>
      <c r="AI1454" s="3"/>
      <c r="AJ1454" s="3"/>
      <c r="AK1454" s="3"/>
      <c r="AL1454" s="3"/>
      <c r="AM1454" s="3"/>
      <c r="AN1454" s="3"/>
    </row>
    <row r="1455" spans="3:40">
      <c r="C1455" s="3"/>
      <c r="D1455" s="3"/>
      <c r="E1455" s="3"/>
      <c r="S1455" s="3"/>
      <c r="T1455" s="3"/>
      <c r="AI1455" s="3"/>
      <c r="AJ1455" s="3"/>
      <c r="AK1455" s="3"/>
      <c r="AL1455" s="3"/>
      <c r="AM1455" s="3"/>
      <c r="AN1455" s="3"/>
    </row>
    <row r="1456" spans="3:40">
      <c r="C1456" s="3"/>
      <c r="D1456" s="3"/>
      <c r="E1456" s="3"/>
      <c r="S1456" s="3"/>
      <c r="T1456" s="3"/>
      <c r="AI1456" s="3"/>
      <c r="AJ1456" s="3"/>
      <c r="AK1456" s="3"/>
      <c r="AL1456" s="3"/>
      <c r="AM1456" s="3"/>
      <c r="AN1456" s="3"/>
    </row>
    <row r="1457" spans="3:40">
      <c r="C1457" s="3"/>
      <c r="D1457" s="3"/>
      <c r="E1457" s="3"/>
      <c r="S1457" s="3"/>
      <c r="T1457" s="3"/>
      <c r="AI1457" s="3"/>
      <c r="AJ1457" s="3"/>
      <c r="AK1457" s="3"/>
      <c r="AL1457" s="3"/>
      <c r="AM1457" s="3"/>
      <c r="AN1457" s="3"/>
    </row>
    <row r="1458" spans="3:40">
      <c r="C1458" s="3"/>
      <c r="D1458" s="3"/>
      <c r="E1458" s="3"/>
      <c r="S1458" s="3"/>
      <c r="T1458" s="3"/>
      <c r="AI1458" s="3"/>
      <c r="AJ1458" s="3"/>
      <c r="AK1458" s="3"/>
      <c r="AL1458" s="3"/>
      <c r="AM1458" s="3"/>
      <c r="AN1458" s="3"/>
    </row>
    <row r="1459" spans="3:40">
      <c r="C1459" s="3"/>
      <c r="D1459" s="3"/>
      <c r="E1459" s="3"/>
      <c r="S1459" s="3"/>
      <c r="T1459" s="3"/>
      <c r="AI1459" s="3"/>
      <c r="AJ1459" s="3"/>
      <c r="AK1459" s="3"/>
      <c r="AL1459" s="3"/>
      <c r="AM1459" s="3"/>
      <c r="AN1459" s="3"/>
    </row>
    <row r="1460" spans="3:40">
      <c r="C1460" s="3"/>
      <c r="D1460" s="3"/>
      <c r="E1460" s="3"/>
      <c r="S1460" s="3"/>
      <c r="T1460" s="3"/>
      <c r="AI1460" s="3"/>
      <c r="AJ1460" s="3"/>
      <c r="AK1460" s="3"/>
      <c r="AL1460" s="3"/>
      <c r="AM1460" s="3"/>
      <c r="AN1460" s="3"/>
    </row>
    <row r="1461" spans="3:40">
      <c r="C1461" s="3"/>
      <c r="D1461" s="3"/>
      <c r="E1461" s="3"/>
      <c r="S1461" s="3"/>
      <c r="T1461" s="3"/>
      <c r="AI1461" s="3"/>
      <c r="AJ1461" s="3"/>
      <c r="AK1461" s="3"/>
      <c r="AL1461" s="3"/>
      <c r="AM1461" s="3"/>
      <c r="AN1461" s="3"/>
    </row>
    <row r="1462" spans="3:40">
      <c r="C1462" s="3"/>
      <c r="D1462" s="3"/>
      <c r="E1462" s="3"/>
      <c r="S1462" s="3"/>
      <c r="T1462" s="3"/>
      <c r="AI1462" s="3"/>
      <c r="AJ1462" s="3"/>
      <c r="AK1462" s="3"/>
      <c r="AL1462" s="3"/>
      <c r="AM1462" s="3"/>
      <c r="AN1462" s="3"/>
    </row>
    <row r="1463" spans="3:40">
      <c r="C1463" s="3"/>
      <c r="D1463" s="3"/>
      <c r="E1463" s="3"/>
      <c r="S1463" s="3"/>
      <c r="T1463" s="3"/>
      <c r="AI1463" s="3"/>
      <c r="AJ1463" s="3"/>
      <c r="AK1463" s="3"/>
      <c r="AL1463" s="3"/>
      <c r="AM1463" s="3"/>
      <c r="AN1463" s="3"/>
    </row>
    <row r="1464" spans="3:40">
      <c r="C1464" s="3"/>
      <c r="D1464" s="3"/>
      <c r="E1464" s="3"/>
      <c r="S1464" s="3"/>
      <c r="T1464" s="3"/>
      <c r="AI1464" s="3"/>
      <c r="AJ1464" s="3"/>
      <c r="AK1464" s="3"/>
      <c r="AL1464" s="3"/>
      <c r="AM1464" s="3"/>
      <c r="AN1464" s="3"/>
    </row>
    <row r="1465" spans="3:40">
      <c r="C1465" s="3"/>
      <c r="D1465" s="3"/>
      <c r="E1465" s="3"/>
      <c r="S1465" s="3"/>
      <c r="T1465" s="3"/>
      <c r="AI1465" s="3"/>
      <c r="AJ1465" s="3"/>
      <c r="AK1465" s="3"/>
      <c r="AL1465" s="3"/>
      <c r="AM1465" s="3"/>
      <c r="AN1465" s="3"/>
    </row>
    <row r="1466" spans="3:40">
      <c r="C1466" s="3"/>
      <c r="D1466" s="3"/>
      <c r="E1466" s="3"/>
      <c r="S1466" s="3"/>
      <c r="T1466" s="3"/>
      <c r="AI1466" s="3"/>
      <c r="AJ1466" s="3"/>
      <c r="AK1466" s="3"/>
      <c r="AL1466" s="3"/>
      <c r="AM1466" s="3"/>
      <c r="AN1466" s="3"/>
    </row>
    <row r="1467" spans="3:40">
      <c r="C1467" s="3"/>
      <c r="D1467" s="3"/>
      <c r="E1467" s="3"/>
      <c r="S1467" s="3"/>
      <c r="T1467" s="3"/>
      <c r="AI1467" s="3"/>
      <c r="AJ1467" s="3"/>
      <c r="AK1467" s="3"/>
      <c r="AL1467" s="3"/>
      <c r="AM1467" s="3"/>
      <c r="AN1467" s="3"/>
    </row>
    <row r="1468" spans="3:40">
      <c r="C1468" s="3"/>
      <c r="D1468" s="3"/>
      <c r="E1468" s="3"/>
      <c r="S1468" s="3"/>
      <c r="T1468" s="3"/>
      <c r="AI1468" s="3"/>
      <c r="AJ1468" s="3"/>
      <c r="AK1468" s="3"/>
      <c r="AL1468" s="3"/>
      <c r="AM1468" s="3"/>
      <c r="AN1468" s="3"/>
    </row>
    <row r="1469" spans="3:40">
      <c r="C1469" s="3"/>
      <c r="D1469" s="3"/>
      <c r="E1469" s="3"/>
      <c r="S1469" s="3"/>
      <c r="T1469" s="3"/>
      <c r="AI1469" s="3"/>
      <c r="AJ1469" s="3"/>
      <c r="AK1469" s="3"/>
      <c r="AL1469" s="3"/>
      <c r="AM1469" s="3"/>
      <c r="AN1469" s="3"/>
    </row>
    <row r="1470" spans="3:40">
      <c r="C1470" s="3"/>
      <c r="D1470" s="3"/>
      <c r="E1470" s="3"/>
      <c r="S1470" s="3"/>
      <c r="T1470" s="3"/>
      <c r="AI1470" s="3"/>
      <c r="AJ1470" s="3"/>
      <c r="AK1470" s="3"/>
      <c r="AL1470" s="3"/>
      <c r="AM1470" s="3"/>
      <c r="AN1470" s="3"/>
    </row>
    <row r="1471" spans="3:40">
      <c r="C1471" s="3"/>
      <c r="D1471" s="3"/>
      <c r="E1471" s="3"/>
      <c r="S1471" s="3"/>
      <c r="T1471" s="3"/>
      <c r="AI1471" s="3"/>
      <c r="AJ1471" s="3"/>
      <c r="AK1471" s="3"/>
      <c r="AL1471" s="3"/>
      <c r="AM1471" s="3"/>
      <c r="AN1471" s="3"/>
    </row>
    <row r="1472" spans="3:40">
      <c r="C1472" s="3"/>
      <c r="D1472" s="3"/>
      <c r="E1472" s="3"/>
      <c r="S1472" s="3"/>
      <c r="T1472" s="3"/>
      <c r="AI1472" s="3"/>
      <c r="AJ1472" s="3"/>
      <c r="AK1472" s="3"/>
      <c r="AL1472" s="3"/>
      <c r="AM1472" s="3"/>
      <c r="AN1472" s="3"/>
    </row>
    <row r="1473" spans="3:40">
      <c r="C1473" s="3"/>
      <c r="D1473" s="3"/>
      <c r="E1473" s="3"/>
      <c r="S1473" s="3"/>
      <c r="T1473" s="3"/>
      <c r="AI1473" s="3"/>
      <c r="AJ1473" s="3"/>
      <c r="AK1473" s="3"/>
      <c r="AL1473" s="3"/>
      <c r="AM1473" s="3"/>
      <c r="AN1473" s="3"/>
    </row>
    <row r="1474" spans="3:40">
      <c r="C1474" s="3"/>
      <c r="D1474" s="3"/>
      <c r="E1474" s="3"/>
      <c r="S1474" s="3"/>
      <c r="T1474" s="3"/>
      <c r="AI1474" s="3"/>
      <c r="AJ1474" s="3"/>
      <c r="AK1474" s="3"/>
      <c r="AL1474" s="3"/>
      <c r="AM1474" s="3"/>
      <c r="AN1474" s="3"/>
    </row>
    <row r="1475" spans="3:40">
      <c r="C1475" s="3"/>
      <c r="D1475" s="3"/>
      <c r="E1475" s="3"/>
      <c r="S1475" s="3"/>
      <c r="T1475" s="3"/>
      <c r="AI1475" s="3"/>
      <c r="AJ1475" s="3"/>
      <c r="AK1475" s="3"/>
      <c r="AL1475" s="3"/>
      <c r="AM1475" s="3"/>
      <c r="AN1475" s="3"/>
    </row>
    <row r="1476" spans="3:40">
      <c r="C1476" s="3"/>
      <c r="D1476" s="3"/>
      <c r="E1476" s="3"/>
      <c r="S1476" s="3"/>
      <c r="T1476" s="3"/>
      <c r="AI1476" s="3"/>
      <c r="AJ1476" s="3"/>
      <c r="AK1476" s="3"/>
      <c r="AL1476" s="3"/>
      <c r="AM1476" s="3"/>
      <c r="AN1476" s="3"/>
    </row>
    <row r="1477" spans="3:40">
      <c r="C1477" s="3"/>
      <c r="D1477" s="3"/>
      <c r="E1477" s="3"/>
      <c r="S1477" s="3"/>
      <c r="T1477" s="3"/>
      <c r="AI1477" s="3"/>
      <c r="AJ1477" s="3"/>
      <c r="AK1477" s="3"/>
      <c r="AL1477" s="3"/>
      <c r="AM1477" s="3"/>
      <c r="AN1477" s="3"/>
    </row>
    <row r="1478" spans="3:40">
      <c r="C1478" s="3"/>
      <c r="D1478" s="3"/>
      <c r="E1478" s="3"/>
      <c r="S1478" s="3"/>
      <c r="T1478" s="3"/>
      <c r="AI1478" s="3"/>
      <c r="AJ1478" s="3"/>
      <c r="AK1478" s="3"/>
      <c r="AL1478" s="3"/>
      <c r="AM1478" s="3"/>
      <c r="AN1478" s="3"/>
    </row>
    <row r="1479" spans="3:40">
      <c r="C1479" s="3"/>
      <c r="D1479" s="3"/>
      <c r="E1479" s="3"/>
      <c r="S1479" s="3"/>
      <c r="T1479" s="3"/>
      <c r="AI1479" s="3"/>
      <c r="AJ1479" s="3"/>
      <c r="AK1479" s="3"/>
      <c r="AL1479" s="3"/>
      <c r="AM1479" s="3"/>
      <c r="AN1479" s="3"/>
    </row>
    <row r="1480" spans="3:40">
      <c r="C1480" s="3"/>
      <c r="D1480" s="3"/>
      <c r="E1480" s="3"/>
      <c r="S1480" s="3"/>
      <c r="T1480" s="3"/>
      <c r="AI1480" s="3"/>
      <c r="AJ1480" s="3"/>
      <c r="AK1480" s="3"/>
      <c r="AL1480" s="3"/>
      <c r="AM1480" s="3"/>
      <c r="AN1480" s="3"/>
    </row>
    <row r="1481" spans="3:40">
      <c r="C1481" s="3"/>
      <c r="D1481" s="3"/>
      <c r="E1481" s="3"/>
      <c r="S1481" s="3"/>
      <c r="T1481" s="3"/>
      <c r="AI1481" s="3"/>
      <c r="AJ1481" s="3"/>
      <c r="AK1481" s="3"/>
      <c r="AL1481" s="3"/>
      <c r="AM1481" s="3"/>
      <c r="AN1481" s="3"/>
    </row>
    <row r="1482" spans="3:40">
      <c r="C1482" s="3"/>
      <c r="D1482" s="3"/>
      <c r="E1482" s="3"/>
      <c r="S1482" s="3"/>
      <c r="T1482" s="3"/>
      <c r="AI1482" s="3"/>
      <c r="AJ1482" s="3"/>
      <c r="AK1482" s="3"/>
      <c r="AL1482" s="3"/>
      <c r="AM1482" s="3"/>
      <c r="AN1482" s="3"/>
    </row>
    <row r="1483" spans="3:40">
      <c r="C1483" s="3"/>
      <c r="D1483" s="3"/>
      <c r="E1483" s="3"/>
      <c r="S1483" s="3"/>
      <c r="T1483" s="3"/>
      <c r="AI1483" s="3"/>
      <c r="AJ1483" s="3"/>
      <c r="AK1483" s="3"/>
      <c r="AL1483" s="3"/>
      <c r="AM1483" s="3"/>
      <c r="AN1483" s="3"/>
    </row>
    <row r="1484" spans="3:40">
      <c r="C1484" s="3"/>
      <c r="D1484" s="3"/>
      <c r="E1484" s="3"/>
      <c r="S1484" s="3"/>
      <c r="T1484" s="3"/>
      <c r="AI1484" s="3"/>
      <c r="AJ1484" s="3"/>
      <c r="AK1484" s="3"/>
      <c r="AL1484" s="3"/>
      <c r="AM1484" s="3"/>
      <c r="AN1484" s="3"/>
    </row>
    <row r="1485" spans="3:40">
      <c r="C1485" s="3"/>
      <c r="D1485" s="3"/>
      <c r="E1485" s="3"/>
      <c r="S1485" s="3"/>
      <c r="T1485" s="3"/>
      <c r="AI1485" s="3"/>
      <c r="AJ1485" s="3"/>
      <c r="AK1485" s="3"/>
      <c r="AL1485" s="3"/>
      <c r="AM1485" s="3"/>
      <c r="AN1485" s="3"/>
    </row>
    <row r="1486" spans="3:40">
      <c r="C1486" s="3"/>
      <c r="D1486" s="3"/>
      <c r="E1486" s="3"/>
      <c r="S1486" s="3"/>
      <c r="T1486" s="3"/>
      <c r="AI1486" s="3"/>
      <c r="AJ1486" s="3"/>
      <c r="AK1486" s="3"/>
      <c r="AL1486" s="3"/>
      <c r="AM1486" s="3"/>
      <c r="AN1486" s="3"/>
    </row>
    <row r="1487" spans="3:40">
      <c r="C1487" s="3"/>
      <c r="D1487" s="3"/>
      <c r="E1487" s="3"/>
      <c r="S1487" s="3"/>
      <c r="T1487" s="3"/>
      <c r="AI1487" s="3"/>
      <c r="AJ1487" s="3"/>
      <c r="AK1487" s="3"/>
      <c r="AL1487" s="3"/>
      <c r="AM1487" s="3"/>
      <c r="AN1487" s="3"/>
    </row>
    <row r="1488" spans="3:40">
      <c r="C1488" s="3"/>
      <c r="D1488" s="3"/>
      <c r="E1488" s="3"/>
      <c r="S1488" s="3"/>
      <c r="T1488" s="3"/>
      <c r="AI1488" s="3"/>
      <c r="AJ1488" s="3"/>
      <c r="AK1488" s="3"/>
      <c r="AL1488" s="3"/>
      <c r="AM1488" s="3"/>
      <c r="AN1488" s="3"/>
    </row>
    <row r="1489" spans="3:40">
      <c r="C1489" s="3"/>
      <c r="D1489" s="3"/>
      <c r="E1489" s="3"/>
      <c r="S1489" s="3"/>
      <c r="T1489" s="3"/>
      <c r="AI1489" s="3"/>
      <c r="AJ1489" s="3"/>
      <c r="AK1489" s="3"/>
      <c r="AL1489" s="3"/>
      <c r="AM1489" s="3"/>
      <c r="AN1489" s="3"/>
    </row>
    <row r="1490" spans="3:40">
      <c r="C1490" s="3"/>
      <c r="D1490" s="3"/>
      <c r="E1490" s="3"/>
      <c r="S1490" s="3"/>
      <c r="T1490" s="3"/>
      <c r="AI1490" s="3"/>
      <c r="AJ1490" s="3"/>
      <c r="AK1490" s="3"/>
      <c r="AL1490" s="3"/>
      <c r="AM1490" s="3"/>
      <c r="AN1490" s="3"/>
    </row>
    <row r="1491" spans="3:40">
      <c r="C1491" s="3"/>
      <c r="D1491" s="3"/>
      <c r="E1491" s="3"/>
      <c r="S1491" s="3"/>
      <c r="T1491" s="3"/>
      <c r="AI1491" s="3"/>
      <c r="AJ1491" s="3"/>
      <c r="AK1491" s="3"/>
      <c r="AL1491" s="3"/>
      <c r="AM1491" s="3"/>
      <c r="AN1491" s="3"/>
    </row>
    <row r="1492" spans="3:40">
      <c r="C1492" s="3"/>
      <c r="D1492" s="3"/>
      <c r="E1492" s="3"/>
      <c r="S1492" s="3"/>
      <c r="T1492" s="3"/>
      <c r="AI1492" s="3"/>
      <c r="AJ1492" s="3"/>
      <c r="AK1492" s="3"/>
      <c r="AL1492" s="3"/>
      <c r="AM1492" s="3"/>
      <c r="AN1492" s="3"/>
    </row>
    <row r="1493" spans="3:40">
      <c r="C1493" s="3"/>
      <c r="D1493" s="3"/>
      <c r="E1493" s="3"/>
      <c r="S1493" s="3"/>
      <c r="T1493" s="3"/>
      <c r="AI1493" s="3"/>
      <c r="AJ1493" s="3"/>
      <c r="AK1493" s="3"/>
      <c r="AL1493" s="3"/>
      <c r="AM1493" s="3"/>
      <c r="AN1493" s="3"/>
    </row>
    <row r="1494" spans="3:40">
      <c r="C1494" s="3"/>
      <c r="D1494" s="3"/>
      <c r="E1494" s="3"/>
      <c r="S1494" s="3"/>
      <c r="T1494" s="3"/>
      <c r="AI1494" s="3"/>
      <c r="AJ1494" s="3"/>
      <c r="AK1494" s="3"/>
      <c r="AL1494" s="3"/>
      <c r="AM1494" s="3"/>
      <c r="AN1494" s="3"/>
    </row>
    <row r="1495" spans="3:40">
      <c r="C1495" s="3"/>
      <c r="D1495" s="3"/>
      <c r="E1495" s="3"/>
      <c r="S1495" s="3"/>
      <c r="T1495" s="3"/>
      <c r="AI1495" s="3"/>
      <c r="AJ1495" s="3"/>
      <c r="AK1495" s="3"/>
      <c r="AL1495" s="3"/>
      <c r="AM1495" s="3"/>
      <c r="AN1495" s="3"/>
    </row>
    <row r="1496" spans="3:40">
      <c r="C1496" s="3"/>
      <c r="D1496" s="3"/>
      <c r="E1496" s="3"/>
      <c r="S1496" s="3"/>
      <c r="T1496" s="3"/>
      <c r="AI1496" s="3"/>
      <c r="AJ1496" s="3"/>
      <c r="AK1496" s="3"/>
      <c r="AL1496" s="3"/>
      <c r="AM1496" s="3"/>
      <c r="AN1496" s="3"/>
    </row>
    <row r="1497" spans="3:40">
      <c r="C1497" s="3"/>
      <c r="D1497" s="3"/>
      <c r="E1497" s="3"/>
      <c r="S1497" s="3"/>
      <c r="T1497" s="3"/>
      <c r="AI1497" s="3"/>
      <c r="AJ1497" s="3"/>
      <c r="AK1497" s="3"/>
      <c r="AL1497" s="3"/>
      <c r="AM1497" s="3"/>
      <c r="AN1497" s="3"/>
    </row>
    <row r="1498" spans="3:40">
      <c r="C1498" s="3"/>
      <c r="D1498" s="3"/>
      <c r="E1498" s="3"/>
      <c r="S1498" s="3"/>
      <c r="T1498" s="3"/>
      <c r="AI1498" s="3"/>
      <c r="AJ1498" s="3"/>
      <c r="AK1498" s="3"/>
      <c r="AL1498" s="3"/>
      <c r="AM1498" s="3"/>
      <c r="AN1498" s="3"/>
    </row>
    <row r="1499" spans="3:40">
      <c r="C1499" s="3"/>
      <c r="D1499" s="3"/>
      <c r="E1499" s="3"/>
      <c r="S1499" s="3"/>
      <c r="T1499" s="3"/>
      <c r="AI1499" s="3"/>
      <c r="AJ1499" s="3"/>
      <c r="AK1499" s="3"/>
      <c r="AL1499" s="3"/>
      <c r="AM1499" s="3"/>
      <c r="AN1499" s="3"/>
    </row>
    <row r="1500" spans="3:40">
      <c r="C1500" s="3"/>
      <c r="D1500" s="3"/>
      <c r="E1500" s="3"/>
      <c r="S1500" s="3"/>
      <c r="T1500" s="3"/>
      <c r="AI1500" s="3"/>
      <c r="AJ1500" s="3"/>
      <c r="AK1500" s="3"/>
      <c r="AL1500" s="3"/>
      <c r="AM1500" s="3"/>
      <c r="AN1500" s="3"/>
    </row>
    <row r="1501" spans="3:40">
      <c r="C1501" s="3"/>
      <c r="D1501" s="3"/>
      <c r="E1501" s="3"/>
      <c r="S1501" s="3"/>
      <c r="T1501" s="3"/>
      <c r="AI1501" s="3"/>
      <c r="AJ1501" s="3"/>
      <c r="AK1501" s="3"/>
      <c r="AL1501" s="3"/>
      <c r="AM1501" s="3"/>
      <c r="AN1501" s="3"/>
    </row>
    <row r="1502" spans="3:40">
      <c r="C1502" s="3"/>
      <c r="D1502" s="3"/>
      <c r="E1502" s="3"/>
      <c r="S1502" s="3"/>
      <c r="T1502" s="3"/>
      <c r="AI1502" s="3"/>
      <c r="AJ1502" s="3"/>
      <c r="AK1502" s="3"/>
      <c r="AL1502" s="3"/>
      <c r="AM1502" s="3"/>
      <c r="AN1502" s="3"/>
    </row>
    <row r="1503" spans="3:40">
      <c r="C1503" s="3"/>
      <c r="D1503" s="3"/>
      <c r="E1503" s="3"/>
      <c r="S1503" s="3"/>
      <c r="T1503" s="3"/>
      <c r="AI1503" s="3"/>
      <c r="AJ1503" s="3"/>
      <c r="AK1503" s="3"/>
      <c r="AL1503" s="3"/>
      <c r="AM1503" s="3"/>
      <c r="AN1503" s="3"/>
    </row>
    <row r="1504" spans="3:40">
      <c r="C1504" s="3"/>
      <c r="D1504" s="3"/>
      <c r="E1504" s="3"/>
      <c r="S1504" s="3"/>
      <c r="T1504" s="3"/>
      <c r="AI1504" s="3"/>
      <c r="AJ1504" s="3"/>
      <c r="AK1504" s="3"/>
      <c r="AL1504" s="3"/>
      <c r="AM1504" s="3"/>
      <c r="AN1504" s="3"/>
    </row>
    <row r="1505" spans="3:40">
      <c r="C1505" s="3"/>
      <c r="D1505" s="3"/>
      <c r="E1505" s="3"/>
      <c r="S1505" s="3"/>
      <c r="T1505" s="3"/>
      <c r="AI1505" s="3"/>
      <c r="AJ1505" s="3"/>
      <c r="AK1505" s="3"/>
      <c r="AL1505" s="3"/>
      <c r="AM1505" s="3"/>
      <c r="AN1505" s="3"/>
    </row>
    <row r="1506" spans="3:40">
      <c r="C1506" s="3"/>
      <c r="D1506" s="3"/>
      <c r="E1506" s="3"/>
      <c r="S1506" s="3"/>
      <c r="T1506" s="3"/>
      <c r="AI1506" s="3"/>
      <c r="AJ1506" s="3"/>
      <c r="AK1506" s="3"/>
      <c r="AL1506" s="3"/>
      <c r="AM1506" s="3"/>
      <c r="AN1506" s="3"/>
    </row>
    <row r="1507" spans="3:40">
      <c r="C1507" s="3"/>
      <c r="D1507" s="3"/>
      <c r="E1507" s="3"/>
      <c r="S1507" s="3"/>
      <c r="T1507" s="3"/>
      <c r="AI1507" s="3"/>
      <c r="AJ1507" s="3"/>
      <c r="AK1507" s="3"/>
      <c r="AL1507" s="3"/>
      <c r="AM1507" s="3"/>
      <c r="AN1507" s="3"/>
    </row>
    <row r="1508" spans="3:40">
      <c r="C1508" s="3"/>
      <c r="D1508" s="3"/>
      <c r="E1508" s="3"/>
      <c r="S1508" s="3"/>
      <c r="T1508" s="3"/>
      <c r="AI1508" s="3"/>
      <c r="AJ1508" s="3"/>
      <c r="AK1508" s="3"/>
      <c r="AL1508" s="3"/>
      <c r="AM1508" s="3"/>
      <c r="AN1508" s="3"/>
    </row>
    <row r="1509" spans="3:40">
      <c r="C1509" s="3"/>
      <c r="D1509" s="3"/>
      <c r="E1509" s="3"/>
      <c r="S1509" s="3"/>
      <c r="T1509" s="3"/>
      <c r="AI1509" s="3"/>
      <c r="AJ1509" s="3"/>
      <c r="AK1509" s="3"/>
      <c r="AL1509" s="3"/>
      <c r="AM1509" s="3"/>
      <c r="AN1509" s="3"/>
    </row>
    <row r="1510" spans="3:40">
      <c r="C1510" s="3"/>
      <c r="D1510" s="3"/>
      <c r="E1510" s="3"/>
      <c r="S1510" s="3"/>
      <c r="T1510" s="3"/>
      <c r="AI1510" s="3"/>
      <c r="AJ1510" s="3"/>
      <c r="AK1510" s="3"/>
      <c r="AL1510" s="3"/>
      <c r="AM1510" s="3"/>
      <c r="AN1510" s="3"/>
    </row>
    <row r="1511" spans="3:40">
      <c r="C1511" s="3"/>
      <c r="D1511" s="3"/>
      <c r="E1511" s="3"/>
      <c r="S1511" s="3"/>
      <c r="T1511" s="3"/>
      <c r="AI1511" s="3"/>
      <c r="AJ1511" s="3"/>
      <c r="AK1511" s="3"/>
      <c r="AL1511" s="3"/>
      <c r="AM1511" s="3"/>
      <c r="AN1511" s="3"/>
    </row>
    <row r="1512" spans="3:40">
      <c r="C1512" s="3"/>
      <c r="D1512" s="3"/>
      <c r="E1512" s="3"/>
      <c r="S1512" s="3"/>
      <c r="T1512" s="3"/>
      <c r="AI1512" s="3"/>
      <c r="AJ1512" s="3"/>
      <c r="AK1512" s="3"/>
      <c r="AL1512" s="3"/>
      <c r="AM1512" s="3"/>
      <c r="AN1512" s="3"/>
    </row>
    <row r="1513" spans="3:40">
      <c r="C1513" s="3"/>
      <c r="D1513" s="3"/>
      <c r="E1513" s="3"/>
      <c r="S1513" s="3"/>
      <c r="T1513" s="3"/>
      <c r="AI1513" s="3"/>
      <c r="AJ1513" s="3"/>
      <c r="AK1513" s="3"/>
      <c r="AL1513" s="3"/>
      <c r="AM1513" s="3"/>
      <c r="AN1513" s="3"/>
    </row>
    <row r="1514" spans="3:40">
      <c r="C1514" s="3"/>
      <c r="D1514" s="3"/>
      <c r="E1514" s="3"/>
      <c r="S1514" s="3"/>
      <c r="T1514" s="3"/>
      <c r="AI1514" s="3"/>
      <c r="AJ1514" s="3"/>
      <c r="AK1514" s="3"/>
      <c r="AL1514" s="3"/>
      <c r="AM1514" s="3"/>
      <c r="AN1514" s="3"/>
    </row>
    <row r="1515" spans="3:40">
      <c r="C1515" s="3"/>
      <c r="D1515" s="3"/>
      <c r="E1515" s="3"/>
      <c r="S1515" s="3"/>
      <c r="T1515" s="3"/>
      <c r="AI1515" s="3"/>
      <c r="AJ1515" s="3"/>
      <c r="AK1515" s="3"/>
      <c r="AL1515" s="3"/>
      <c r="AM1515" s="3"/>
      <c r="AN1515" s="3"/>
    </row>
    <row r="1516" spans="3:40">
      <c r="C1516" s="3"/>
      <c r="D1516" s="3"/>
      <c r="E1516" s="3"/>
      <c r="S1516" s="3"/>
      <c r="T1516" s="3"/>
      <c r="AI1516" s="3"/>
      <c r="AJ1516" s="3"/>
      <c r="AK1516" s="3"/>
      <c r="AL1516" s="3"/>
      <c r="AM1516" s="3"/>
      <c r="AN1516" s="3"/>
    </row>
    <row r="1517" spans="3:40">
      <c r="C1517" s="3"/>
      <c r="D1517" s="3"/>
      <c r="E1517" s="3"/>
      <c r="S1517" s="3"/>
      <c r="T1517" s="3"/>
      <c r="AI1517" s="3"/>
      <c r="AJ1517" s="3"/>
      <c r="AK1517" s="3"/>
      <c r="AL1517" s="3"/>
      <c r="AM1517" s="3"/>
      <c r="AN1517" s="3"/>
    </row>
    <row r="1518" spans="3:40">
      <c r="C1518" s="3"/>
      <c r="D1518" s="3"/>
      <c r="E1518" s="3"/>
      <c r="S1518" s="3"/>
      <c r="T1518" s="3"/>
      <c r="AI1518" s="3"/>
      <c r="AJ1518" s="3"/>
      <c r="AK1518" s="3"/>
      <c r="AL1518" s="3"/>
      <c r="AM1518" s="3"/>
      <c r="AN1518" s="3"/>
    </row>
    <row r="1519" spans="3:40">
      <c r="C1519" s="3"/>
      <c r="D1519" s="3"/>
      <c r="E1519" s="3"/>
      <c r="S1519" s="3"/>
      <c r="T1519" s="3"/>
      <c r="AI1519" s="3"/>
      <c r="AJ1519" s="3"/>
      <c r="AK1519" s="3"/>
      <c r="AL1519" s="3"/>
      <c r="AM1519" s="3"/>
      <c r="AN1519" s="3"/>
    </row>
    <row r="1520" spans="3:40">
      <c r="C1520" s="3"/>
      <c r="D1520" s="3"/>
      <c r="E1520" s="3"/>
      <c r="S1520" s="3"/>
      <c r="T1520" s="3"/>
      <c r="AI1520" s="3"/>
      <c r="AJ1520" s="3"/>
      <c r="AK1520" s="3"/>
      <c r="AL1520" s="3"/>
      <c r="AM1520" s="3"/>
      <c r="AN1520" s="3"/>
    </row>
    <row r="1521" spans="3:40">
      <c r="C1521" s="3"/>
      <c r="D1521" s="3"/>
      <c r="E1521" s="3"/>
      <c r="S1521" s="3"/>
      <c r="T1521" s="3"/>
      <c r="AI1521" s="3"/>
      <c r="AJ1521" s="3"/>
      <c r="AK1521" s="3"/>
      <c r="AL1521" s="3"/>
      <c r="AM1521" s="3"/>
      <c r="AN1521" s="3"/>
    </row>
    <row r="1522" spans="3:40">
      <c r="C1522" s="3"/>
      <c r="D1522" s="3"/>
      <c r="E1522" s="3"/>
      <c r="S1522" s="3"/>
      <c r="T1522" s="3"/>
      <c r="AI1522" s="3"/>
      <c r="AJ1522" s="3"/>
      <c r="AK1522" s="3"/>
      <c r="AL1522" s="3"/>
      <c r="AM1522" s="3"/>
      <c r="AN1522" s="3"/>
    </row>
    <row r="1523" spans="3:40">
      <c r="C1523" s="3"/>
      <c r="D1523" s="3"/>
      <c r="E1523" s="3"/>
      <c r="S1523" s="3"/>
      <c r="T1523" s="3"/>
      <c r="AI1523" s="3"/>
      <c r="AJ1523" s="3"/>
      <c r="AK1523" s="3"/>
      <c r="AL1523" s="3"/>
      <c r="AM1523" s="3"/>
      <c r="AN1523" s="3"/>
    </row>
    <row r="1524" spans="3:40">
      <c r="C1524" s="3"/>
      <c r="D1524" s="3"/>
      <c r="E1524" s="3"/>
      <c r="S1524" s="3"/>
      <c r="T1524" s="3"/>
      <c r="AI1524" s="3"/>
      <c r="AJ1524" s="3"/>
      <c r="AK1524" s="3"/>
      <c r="AL1524" s="3"/>
      <c r="AM1524" s="3"/>
      <c r="AN1524" s="3"/>
    </row>
    <row r="1525" spans="3:40">
      <c r="C1525" s="3"/>
      <c r="D1525" s="3"/>
      <c r="E1525" s="3"/>
      <c r="S1525" s="3"/>
      <c r="T1525" s="3"/>
      <c r="AI1525" s="3"/>
      <c r="AJ1525" s="3"/>
      <c r="AK1525" s="3"/>
      <c r="AL1525" s="3"/>
      <c r="AM1525" s="3"/>
      <c r="AN1525" s="3"/>
    </row>
    <row r="1526" spans="3:40">
      <c r="C1526" s="3"/>
      <c r="D1526" s="3"/>
      <c r="E1526" s="3"/>
      <c r="S1526" s="3"/>
      <c r="T1526" s="3"/>
      <c r="AI1526" s="3"/>
      <c r="AJ1526" s="3"/>
      <c r="AK1526" s="3"/>
      <c r="AL1526" s="3"/>
      <c r="AM1526" s="3"/>
      <c r="AN1526" s="3"/>
    </row>
    <row r="1527" spans="3:40">
      <c r="C1527" s="3"/>
      <c r="D1527" s="3"/>
      <c r="E1527" s="3"/>
      <c r="S1527" s="3"/>
      <c r="T1527" s="3"/>
      <c r="AI1527" s="3"/>
      <c r="AJ1527" s="3"/>
      <c r="AK1527" s="3"/>
      <c r="AL1527" s="3"/>
      <c r="AM1527" s="3"/>
      <c r="AN1527" s="3"/>
    </row>
    <row r="1528" spans="3:40">
      <c r="C1528" s="3"/>
      <c r="D1528" s="3"/>
      <c r="E1528" s="3"/>
      <c r="S1528" s="3"/>
      <c r="T1528" s="3"/>
      <c r="AI1528" s="3"/>
      <c r="AJ1528" s="3"/>
      <c r="AK1528" s="3"/>
      <c r="AL1528" s="3"/>
      <c r="AM1528" s="3"/>
      <c r="AN1528" s="3"/>
    </row>
    <row r="1529" spans="3:40">
      <c r="C1529" s="3"/>
      <c r="D1529" s="3"/>
      <c r="E1529" s="3"/>
      <c r="S1529" s="3"/>
      <c r="T1529" s="3"/>
      <c r="AI1529" s="3"/>
      <c r="AJ1529" s="3"/>
      <c r="AK1529" s="3"/>
      <c r="AL1529" s="3"/>
      <c r="AM1529" s="3"/>
      <c r="AN1529" s="3"/>
    </row>
    <row r="1530" spans="3:40">
      <c r="C1530" s="3"/>
      <c r="D1530" s="3"/>
      <c r="E1530" s="3"/>
      <c r="S1530" s="3"/>
      <c r="T1530" s="3"/>
      <c r="AI1530" s="3"/>
      <c r="AJ1530" s="3"/>
      <c r="AK1530" s="3"/>
      <c r="AL1530" s="3"/>
      <c r="AM1530" s="3"/>
      <c r="AN1530" s="3"/>
    </row>
    <row r="1531" spans="3:40">
      <c r="C1531" s="3"/>
      <c r="D1531" s="3"/>
      <c r="E1531" s="3"/>
      <c r="S1531" s="3"/>
      <c r="T1531" s="3"/>
      <c r="AI1531" s="3"/>
      <c r="AJ1531" s="3"/>
      <c r="AK1531" s="3"/>
      <c r="AL1531" s="3"/>
      <c r="AM1531" s="3"/>
      <c r="AN1531" s="3"/>
    </row>
    <row r="1532" spans="3:40">
      <c r="C1532" s="3"/>
      <c r="D1532" s="3"/>
      <c r="E1532" s="3"/>
      <c r="S1532" s="3"/>
      <c r="T1532" s="3"/>
      <c r="AI1532" s="3"/>
      <c r="AJ1532" s="3"/>
      <c r="AK1532" s="3"/>
      <c r="AL1532" s="3"/>
      <c r="AM1532" s="3"/>
      <c r="AN1532" s="3"/>
    </row>
    <row r="1533" spans="3:40">
      <c r="C1533" s="3"/>
      <c r="D1533" s="3"/>
      <c r="E1533" s="3"/>
      <c r="S1533" s="3"/>
      <c r="T1533" s="3"/>
      <c r="AI1533" s="3"/>
      <c r="AJ1533" s="3"/>
      <c r="AK1533" s="3"/>
      <c r="AL1533" s="3"/>
      <c r="AM1533" s="3"/>
      <c r="AN1533" s="3"/>
    </row>
    <row r="1534" spans="3:40">
      <c r="C1534" s="3"/>
      <c r="D1534" s="3"/>
      <c r="E1534" s="3"/>
      <c r="S1534" s="3"/>
      <c r="T1534" s="3"/>
      <c r="AI1534" s="3"/>
      <c r="AJ1534" s="3"/>
      <c r="AK1534" s="3"/>
      <c r="AL1534" s="3"/>
      <c r="AM1534" s="3"/>
      <c r="AN1534" s="3"/>
    </row>
    <row r="1535" spans="3:40">
      <c r="C1535" s="3"/>
      <c r="D1535" s="3"/>
      <c r="E1535" s="3"/>
      <c r="S1535" s="3"/>
      <c r="T1535" s="3"/>
      <c r="AI1535" s="3"/>
      <c r="AJ1535" s="3"/>
      <c r="AK1535" s="3"/>
      <c r="AL1535" s="3"/>
      <c r="AM1535" s="3"/>
      <c r="AN1535" s="3"/>
    </row>
    <row r="1536" spans="3:40">
      <c r="C1536" s="3"/>
      <c r="D1536" s="3"/>
      <c r="E1536" s="3"/>
      <c r="S1536" s="3"/>
      <c r="T1536" s="3"/>
      <c r="AI1536" s="3"/>
      <c r="AJ1536" s="3"/>
      <c r="AK1536" s="3"/>
      <c r="AL1536" s="3"/>
      <c r="AM1536" s="3"/>
      <c r="AN1536" s="3"/>
    </row>
    <row r="1537" spans="3:40">
      <c r="C1537" s="3"/>
      <c r="D1537" s="3"/>
      <c r="E1537" s="3"/>
      <c r="S1537" s="3"/>
      <c r="T1537" s="3"/>
      <c r="AI1537" s="3"/>
      <c r="AJ1537" s="3"/>
      <c r="AK1537" s="3"/>
      <c r="AL1537" s="3"/>
      <c r="AM1537" s="3"/>
      <c r="AN1537" s="3"/>
    </row>
    <row r="1538" spans="3:40">
      <c r="C1538" s="3"/>
      <c r="D1538" s="3"/>
      <c r="E1538" s="3"/>
      <c r="S1538" s="3"/>
      <c r="T1538" s="3"/>
      <c r="AI1538" s="3"/>
      <c r="AJ1538" s="3"/>
      <c r="AK1538" s="3"/>
      <c r="AL1538" s="3"/>
      <c r="AM1538" s="3"/>
      <c r="AN1538" s="3"/>
    </row>
    <row r="1539" spans="3:40">
      <c r="C1539" s="3"/>
      <c r="D1539" s="3"/>
      <c r="E1539" s="3"/>
      <c r="S1539" s="3"/>
      <c r="T1539" s="3"/>
      <c r="AI1539" s="3"/>
      <c r="AJ1539" s="3"/>
      <c r="AK1539" s="3"/>
      <c r="AL1539" s="3"/>
      <c r="AM1539" s="3"/>
      <c r="AN1539" s="3"/>
    </row>
    <row r="1540" spans="3:40">
      <c r="C1540" s="3"/>
      <c r="D1540" s="3"/>
      <c r="E1540" s="3"/>
      <c r="S1540" s="3"/>
      <c r="T1540" s="3"/>
      <c r="AI1540" s="3"/>
      <c r="AJ1540" s="3"/>
      <c r="AK1540" s="3"/>
      <c r="AL1540" s="3"/>
      <c r="AM1540" s="3"/>
      <c r="AN1540" s="3"/>
    </row>
    <row r="1541" spans="3:40">
      <c r="C1541" s="3"/>
      <c r="D1541" s="3"/>
      <c r="E1541" s="3"/>
      <c r="S1541" s="3"/>
      <c r="T1541" s="3"/>
      <c r="AI1541" s="3"/>
      <c r="AJ1541" s="3"/>
      <c r="AK1541" s="3"/>
      <c r="AL1541" s="3"/>
      <c r="AM1541" s="3"/>
      <c r="AN1541" s="3"/>
    </row>
    <row r="1542" spans="3:40">
      <c r="C1542" s="3"/>
      <c r="D1542" s="3"/>
      <c r="E1542" s="3"/>
      <c r="S1542" s="3"/>
      <c r="T1542" s="3"/>
      <c r="AI1542" s="3"/>
      <c r="AJ1542" s="3"/>
      <c r="AK1542" s="3"/>
      <c r="AL1542" s="3"/>
      <c r="AM1542" s="3"/>
      <c r="AN1542" s="3"/>
    </row>
    <row r="1543" spans="3:40">
      <c r="C1543" s="3"/>
      <c r="D1543" s="3"/>
      <c r="E1543" s="3"/>
      <c r="S1543" s="3"/>
      <c r="T1543" s="3"/>
      <c r="AI1543" s="3"/>
      <c r="AJ1543" s="3"/>
      <c r="AK1543" s="3"/>
      <c r="AL1543" s="3"/>
      <c r="AM1543" s="3"/>
      <c r="AN1543" s="3"/>
    </row>
    <row r="1544" spans="3:40">
      <c r="C1544" s="3"/>
      <c r="D1544" s="3"/>
      <c r="E1544" s="3"/>
      <c r="S1544" s="3"/>
      <c r="T1544" s="3"/>
      <c r="AI1544" s="3"/>
      <c r="AJ1544" s="3"/>
      <c r="AK1544" s="3"/>
      <c r="AL1544" s="3"/>
      <c r="AM1544" s="3"/>
      <c r="AN1544" s="3"/>
    </row>
    <row r="1545" spans="3:40">
      <c r="C1545" s="3"/>
      <c r="D1545" s="3"/>
      <c r="E1545" s="3"/>
      <c r="S1545" s="3"/>
      <c r="T1545" s="3"/>
      <c r="AI1545" s="3"/>
      <c r="AJ1545" s="3"/>
      <c r="AK1545" s="3"/>
      <c r="AL1545" s="3"/>
      <c r="AM1545" s="3"/>
      <c r="AN1545" s="3"/>
    </row>
    <row r="1546" spans="3:40">
      <c r="C1546" s="3"/>
      <c r="D1546" s="3"/>
      <c r="E1546" s="3"/>
      <c r="S1546" s="3"/>
      <c r="T1546" s="3"/>
      <c r="AI1546" s="3"/>
      <c r="AJ1546" s="3"/>
      <c r="AK1546" s="3"/>
      <c r="AL1546" s="3"/>
      <c r="AM1546" s="3"/>
      <c r="AN1546" s="3"/>
    </row>
    <row r="1547" spans="3:40">
      <c r="C1547" s="3"/>
      <c r="D1547" s="3"/>
      <c r="E1547" s="3"/>
      <c r="S1547" s="3"/>
      <c r="T1547" s="3"/>
      <c r="AI1547" s="3"/>
      <c r="AJ1547" s="3"/>
      <c r="AK1547" s="3"/>
      <c r="AL1547" s="3"/>
      <c r="AM1547" s="3"/>
      <c r="AN1547" s="3"/>
    </row>
    <row r="1548" spans="3:40">
      <c r="C1548" s="3"/>
      <c r="D1548" s="3"/>
      <c r="E1548" s="3"/>
      <c r="S1548" s="3"/>
      <c r="T1548" s="3"/>
      <c r="AI1548" s="3"/>
      <c r="AJ1548" s="3"/>
      <c r="AK1548" s="3"/>
      <c r="AL1548" s="3"/>
      <c r="AM1548" s="3"/>
      <c r="AN1548" s="3"/>
    </row>
    <row r="1549" spans="3:40">
      <c r="C1549" s="3"/>
      <c r="D1549" s="3"/>
      <c r="E1549" s="3"/>
      <c r="S1549" s="3"/>
      <c r="T1549" s="3"/>
      <c r="AI1549" s="3"/>
      <c r="AJ1549" s="3"/>
      <c r="AK1549" s="3"/>
      <c r="AL1549" s="3"/>
      <c r="AM1549" s="3"/>
      <c r="AN1549" s="3"/>
    </row>
    <row r="1550" spans="3:40">
      <c r="C1550" s="3"/>
      <c r="D1550" s="3"/>
      <c r="E1550" s="3"/>
      <c r="S1550" s="3"/>
      <c r="T1550" s="3"/>
      <c r="AI1550" s="3"/>
      <c r="AJ1550" s="3"/>
      <c r="AK1550" s="3"/>
      <c r="AL1550" s="3"/>
      <c r="AM1550" s="3"/>
      <c r="AN1550" s="3"/>
    </row>
    <row r="1551" spans="3:40">
      <c r="C1551" s="3"/>
      <c r="D1551" s="3"/>
      <c r="E1551" s="3"/>
      <c r="S1551" s="3"/>
      <c r="T1551" s="3"/>
      <c r="AI1551" s="3"/>
      <c r="AJ1551" s="3"/>
      <c r="AK1551" s="3"/>
      <c r="AL1551" s="3"/>
      <c r="AM1551" s="3"/>
      <c r="AN1551" s="3"/>
    </row>
    <row r="1552" spans="3:40">
      <c r="C1552" s="3"/>
      <c r="D1552" s="3"/>
      <c r="E1552" s="3"/>
      <c r="S1552" s="3"/>
      <c r="T1552" s="3"/>
      <c r="AI1552" s="3"/>
      <c r="AJ1552" s="3"/>
      <c r="AK1552" s="3"/>
      <c r="AL1552" s="3"/>
      <c r="AM1552" s="3"/>
      <c r="AN1552" s="3"/>
    </row>
    <row r="1553" spans="3:40">
      <c r="C1553" s="3"/>
      <c r="D1553" s="3"/>
      <c r="E1553" s="3"/>
      <c r="S1553" s="3"/>
      <c r="T1553" s="3"/>
      <c r="AI1553" s="3"/>
      <c r="AJ1553" s="3"/>
      <c r="AK1553" s="3"/>
      <c r="AL1553" s="3"/>
      <c r="AM1553" s="3"/>
      <c r="AN1553" s="3"/>
    </row>
    <row r="1554" spans="3:40">
      <c r="C1554" s="3"/>
      <c r="D1554" s="3"/>
      <c r="E1554" s="3"/>
      <c r="S1554" s="3"/>
      <c r="T1554" s="3"/>
      <c r="AI1554" s="3"/>
      <c r="AJ1554" s="3"/>
      <c r="AK1554" s="3"/>
      <c r="AL1554" s="3"/>
      <c r="AM1554" s="3"/>
      <c r="AN1554" s="3"/>
    </row>
    <row r="1555" spans="3:40">
      <c r="C1555" s="3"/>
      <c r="D1555" s="3"/>
      <c r="E1555" s="3"/>
      <c r="S1555" s="3"/>
      <c r="T1555" s="3"/>
      <c r="AI1555" s="3"/>
      <c r="AJ1555" s="3"/>
      <c r="AK1555" s="3"/>
      <c r="AL1555" s="3"/>
      <c r="AM1555" s="3"/>
      <c r="AN1555" s="3"/>
    </row>
    <row r="1556" spans="3:40">
      <c r="C1556" s="3"/>
      <c r="D1556" s="3"/>
      <c r="E1556" s="3"/>
      <c r="S1556" s="3"/>
      <c r="T1556" s="3"/>
      <c r="AI1556" s="3"/>
      <c r="AJ1556" s="3"/>
      <c r="AK1556" s="3"/>
      <c r="AL1556" s="3"/>
      <c r="AM1556" s="3"/>
      <c r="AN1556" s="3"/>
    </row>
    <row r="1557" spans="3:40">
      <c r="C1557" s="3"/>
      <c r="D1557" s="3"/>
      <c r="E1557" s="3"/>
      <c r="S1557" s="3"/>
      <c r="T1557" s="3"/>
      <c r="AI1557" s="3"/>
      <c r="AJ1557" s="3"/>
      <c r="AK1557" s="3"/>
      <c r="AL1557" s="3"/>
      <c r="AM1557" s="3"/>
      <c r="AN1557" s="3"/>
    </row>
    <row r="1558" spans="3:40">
      <c r="C1558" s="3"/>
      <c r="D1558" s="3"/>
      <c r="E1558" s="3"/>
      <c r="S1558" s="3"/>
      <c r="T1558" s="3"/>
      <c r="AI1558" s="3"/>
      <c r="AJ1558" s="3"/>
      <c r="AK1558" s="3"/>
      <c r="AL1558" s="3"/>
      <c r="AM1558" s="3"/>
      <c r="AN1558" s="3"/>
    </row>
    <row r="1559" spans="3:40">
      <c r="C1559" s="3"/>
      <c r="D1559" s="3"/>
      <c r="E1559" s="3"/>
      <c r="S1559" s="3"/>
      <c r="T1559" s="3"/>
      <c r="AI1559" s="3"/>
      <c r="AJ1559" s="3"/>
      <c r="AK1559" s="3"/>
      <c r="AL1559" s="3"/>
      <c r="AM1559" s="3"/>
      <c r="AN1559" s="3"/>
    </row>
    <row r="1560" spans="3:40">
      <c r="C1560" s="3"/>
      <c r="D1560" s="3"/>
      <c r="E1560" s="3"/>
      <c r="S1560" s="3"/>
      <c r="T1560" s="3"/>
      <c r="AI1560" s="3"/>
      <c r="AJ1560" s="3"/>
      <c r="AK1560" s="3"/>
      <c r="AL1560" s="3"/>
      <c r="AM1560" s="3"/>
      <c r="AN1560" s="3"/>
    </row>
    <row r="1561" spans="3:40">
      <c r="C1561" s="3"/>
      <c r="D1561" s="3"/>
      <c r="E1561" s="3"/>
      <c r="S1561" s="3"/>
      <c r="T1561" s="3"/>
      <c r="AI1561" s="3"/>
      <c r="AJ1561" s="3"/>
      <c r="AK1561" s="3"/>
      <c r="AL1561" s="3"/>
      <c r="AM1561" s="3"/>
      <c r="AN1561" s="3"/>
    </row>
    <row r="1562" spans="3:40">
      <c r="C1562" s="3"/>
      <c r="D1562" s="3"/>
      <c r="E1562" s="3"/>
      <c r="S1562" s="3"/>
      <c r="T1562" s="3"/>
      <c r="AI1562" s="3"/>
      <c r="AJ1562" s="3"/>
      <c r="AK1562" s="3"/>
      <c r="AL1562" s="3"/>
      <c r="AM1562" s="3"/>
      <c r="AN1562" s="3"/>
    </row>
    <row r="1563" spans="3:40">
      <c r="C1563" s="3"/>
      <c r="D1563" s="3"/>
      <c r="E1563" s="3"/>
      <c r="S1563" s="3"/>
      <c r="T1563" s="3"/>
      <c r="AI1563" s="3"/>
      <c r="AJ1563" s="3"/>
      <c r="AK1563" s="3"/>
      <c r="AL1563" s="3"/>
      <c r="AM1563" s="3"/>
      <c r="AN1563" s="3"/>
    </row>
    <row r="1564" spans="3:40">
      <c r="C1564" s="3"/>
      <c r="D1564" s="3"/>
      <c r="E1564" s="3"/>
      <c r="S1564" s="3"/>
      <c r="T1564" s="3"/>
      <c r="AI1564" s="3"/>
      <c r="AJ1564" s="3"/>
      <c r="AK1564" s="3"/>
      <c r="AL1564" s="3"/>
      <c r="AM1564" s="3"/>
      <c r="AN1564" s="3"/>
    </row>
    <row r="1565" spans="3:40">
      <c r="C1565" s="3"/>
      <c r="D1565" s="3"/>
      <c r="E1565" s="3"/>
      <c r="S1565" s="3"/>
      <c r="T1565" s="3"/>
      <c r="AI1565" s="3"/>
      <c r="AJ1565" s="3"/>
      <c r="AK1565" s="3"/>
      <c r="AL1565" s="3"/>
      <c r="AM1565" s="3"/>
      <c r="AN1565" s="3"/>
    </row>
    <row r="1566" spans="3:40">
      <c r="C1566" s="3"/>
      <c r="D1566" s="3"/>
      <c r="E1566" s="3"/>
      <c r="S1566" s="3"/>
      <c r="T1566" s="3"/>
      <c r="AI1566" s="3"/>
      <c r="AJ1566" s="3"/>
      <c r="AK1566" s="3"/>
      <c r="AL1566" s="3"/>
      <c r="AM1566" s="3"/>
      <c r="AN1566" s="3"/>
    </row>
    <row r="1567" spans="3:40">
      <c r="C1567" s="3"/>
      <c r="D1567" s="3"/>
      <c r="E1567" s="3"/>
      <c r="S1567" s="3"/>
      <c r="T1567" s="3"/>
      <c r="AI1567" s="3"/>
      <c r="AJ1567" s="3"/>
      <c r="AK1567" s="3"/>
      <c r="AL1567" s="3"/>
      <c r="AM1567" s="3"/>
      <c r="AN1567" s="3"/>
    </row>
    <row r="1568" spans="3:40">
      <c r="C1568" s="3"/>
      <c r="D1568" s="3"/>
      <c r="E1568" s="3"/>
      <c r="S1568" s="3"/>
      <c r="T1568" s="3"/>
      <c r="AI1568" s="3"/>
      <c r="AJ1568" s="3"/>
      <c r="AK1568" s="3"/>
      <c r="AL1568" s="3"/>
      <c r="AM1568" s="3"/>
      <c r="AN1568" s="3"/>
    </row>
    <row r="1569" spans="3:40">
      <c r="C1569" s="3"/>
      <c r="D1569" s="3"/>
      <c r="E1569" s="3"/>
      <c r="S1569" s="3"/>
      <c r="T1569" s="3"/>
      <c r="AI1569" s="3"/>
      <c r="AJ1569" s="3"/>
      <c r="AK1569" s="3"/>
      <c r="AL1569" s="3"/>
      <c r="AM1569" s="3"/>
      <c r="AN1569" s="3"/>
    </row>
    <row r="1570" spans="3:40">
      <c r="C1570" s="3"/>
      <c r="D1570" s="3"/>
      <c r="E1570" s="3"/>
      <c r="S1570" s="3"/>
      <c r="T1570" s="3"/>
      <c r="AI1570" s="3"/>
      <c r="AJ1570" s="3"/>
      <c r="AK1570" s="3"/>
      <c r="AL1570" s="3"/>
      <c r="AM1570" s="3"/>
      <c r="AN1570" s="3"/>
    </row>
    <row r="1571" spans="3:40">
      <c r="C1571" s="3"/>
      <c r="D1571" s="3"/>
      <c r="E1571" s="3"/>
      <c r="S1571" s="3"/>
      <c r="T1571" s="3"/>
      <c r="AI1571" s="3"/>
      <c r="AJ1571" s="3"/>
      <c r="AK1571" s="3"/>
      <c r="AL1571" s="3"/>
      <c r="AM1571" s="3"/>
      <c r="AN1571" s="3"/>
    </row>
    <row r="1572" spans="3:40">
      <c r="C1572" s="3"/>
      <c r="D1572" s="3"/>
      <c r="E1572" s="3"/>
      <c r="S1572" s="3"/>
      <c r="T1572" s="3"/>
      <c r="AI1572" s="3"/>
      <c r="AJ1572" s="3"/>
      <c r="AK1572" s="3"/>
      <c r="AL1572" s="3"/>
      <c r="AM1572" s="3"/>
      <c r="AN1572" s="3"/>
    </row>
    <row r="1573" spans="3:40">
      <c r="C1573" s="3"/>
      <c r="D1573" s="3"/>
      <c r="E1573" s="3"/>
      <c r="S1573" s="3"/>
      <c r="T1573" s="3"/>
      <c r="AI1573" s="3"/>
      <c r="AJ1573" s="3"/>
      <c r="AK1573" s="3"/>
      <c r="AL1573" s="3"/>
      <c r="AM1573" s="3"/>
      <c r="AN1573" s="3"/>
    </row>
    <row r="1574" spans="3:40">
      <c r="C1574" s="3"/>
      <c r="D1574" s="3"/>
      <c r="E1574" s="3"/>
      <c r="S1574" s="3"/>
      <c r="T1574" s="3"/>
      <c r="AI1574" s="3"/>
      <c r="AJ1574" s="3"/>
      <c r="AK1574" s="3"/>
      <c r="AL1574" s="3"/>
      <c r="AM1574" s="3"/>
      <c r="AN1574" s="3"/>
    </row>
    <row r="1575" spans="3:40">
      <c r="C1575" s="3"/>
      <c r="D1575" s="3"/>
      <c r="E1575" s="3"/>
      <c r="S1575" s="3"/>
      <c r="T1575" s="3"/>
      <c r="AI1575" s="3"/>
      <c r="AJ1575" s="3"/>
      <c r="AK1575" s="3"/>
      <c r="AL1575" s="3"/>
      <c r="AM1575" s="3"/>
      <c r="AN1575" s="3"/>
    </row>
    <row r="1576" spans="3:40">
      <c r="C1576" s="3"/>
      <c r="D1576" s="3"/>
      <c r="E1576" s="3"/>
      <c r="S1576" s="3"/>
      <c r="T1576" s="3"/>
      <c r="AI1576" s="3"/>
      <c r="AJ1576" s="3"/>
      <c r="AK1576" s="3"/>
      <c r="AL1576" s="3"/>
      <c r="AM1576" s="3"/>
      <c r="AN1576" s="3"/>
    </row>
    <row r="1577" spans="3:40">
      <c r="C1577" s="3"/>
      <c r="D1577" s="3"/>
      <c r="E1577" s="3"/>
      <c r="S1577" s="3"/>
      <c r="T1577" s="3"/>
      <c r="AI1577" s="3"/>
      <c r="AJ1577" s="3"/>
      <c r="AK1577" s="3"/>
      <c r="AL1577" s="3"/>
      <c r="AM1577" s="3"/>
      <c r="AN1577" s="3"/>
    </row>
    <row r="1578" spans="3:40">
      <c r="C1578" s="3"/>
      <c r="D1578" s="3"/>
      <c r="E1578" s="3"/>
      <c r="S1578" s="3"/>
      <c r="T1578" s="3"/>
      <c r="AI1578" s="3"/>
      <c r="AJ1578" s="3"/>
      <c r="AK1578" s="3"/>
      <c r="AL1578" s="3"/>
      <c r="AM1578" s="3"/>
      <c r="AN1578" s="3"/>
    </row>
    <row r="1579" spans="3:40">
      <c r="C1579" s="3"/>
      <c r="D1579" s="3"/>
      <c r="E1579" s="3"/>
      <c r="S1579" s="3"/>
      <c r="T1579" s="3"/>
      <c r="AI1579" s="3"/>
      <c r="AJ1579" s="3"/>
      <c r="AK1579" s="3"/>
      <c r="AL1579" s="3"/>
      <c r="AM1579" s="3"/>
      <c r="AN1579" s="3"/>
    </row>
    <row r="1580" spans="3:40">
      <c r="C1580" s="3"/>
      <c r="D1580" s="3"/>
      <c r="E1580" s="3"/>
      <c r="S1580" s="3"/>
      <c r="T1580" s="3"/>
      <c r="AI1580" s="3"/>
      <c r="AJ1580" s="3"/>
      <c r="AK1580" s="3"/>
      <c r="AL1580" s="3"/>
      <c r="AM1580" s="3"/>
      <c r="AN1580" s="3"/>
    </row>
    <row r="1581" spans="3:40">
      <c r="C1581" s="3"/>
      <c r="D1581" s="3"/>
      <c r="E1581" s="3"/>
      <c r="S1581" s="3"/>
      <c r="T1581" s="3"/>
      <c r="AI1581" s="3"/>
      <c r="AJ1581" s="3"/>
      <c r="AK1581" s="3"/>
      <c r="AL1581" s="3"/>
      <c r="AM1581" s="3"/>
      <c r="AN1581" s="3"/>
    </row>
    <row r="1582" spans="3:40">
      <c r="C1582" s="3"/>
      <c r="D1582" s="3"/>
      <c r="E1582" s="3"/>
      <c r="S1582" s="3"/>
      <c r="T1582" s="3"/>
      <c r="AI1582" s="3"/>
      <c r="AJ1582" s="3"/>
      <c r="AK1582" s="3"/>
      <c r="AL1582" s="3"/>
      <c r="AM1582" s="3"/>
      <c r="AN1582" s="3"/>
    </row>
    <row r="1583" spans="3:40">
      <c r="C1583" s="3"/>
      <c r="D1583" s="3"/>
      <c r="E1583" s="3"/>
      <c r="S1583" s="3"/>
      <c r="T1583" s="3"/>
      <c r="AI1583" s="3"/>
      <c r="AJ1583" s="3"/>
      <c r="AK1583" s="3"/>
      <c r="AL1583" s="3"/>
      <c r="AM1583" s="3"/>
      <c r="AN1583" s="3"/>
    </row>
    <row r="1584" spans="3:40">
      <c r="C1584" s="3"/>
      <c r="D1584" s="3"/>
      <c r="E1584" s="3"/>
      <c r="S1584" s="3"/>
      <c r="T1584" s="3"/>
      <c r="AI1584" s="3"/>
      <c r="AJ1584" s="3"/>
      <c r="AK1584" s="3"/>
      <c r="AL1584" s="3"/>
      <c r="AM1584" s="3"/>
      <c r="AN1584" s="3"/>
    </row>
    <row r="1585" spans="3:40">
      <c r="C1585" s="3"/>
      <c r="D1585" s="3"/>
      <c r="E1585" s="3"/>
      <c r="S1585" s="3"/>
      <c r="T1585" s="3"/>
      <c r="AI1585" s="3"/>
      <c r="AJ1585" s="3"/>
      <c r="AK1585" s="3"/>
      <c r="AL1585" s="3"/>
      <c r="AM1585" s="3"/>
      <c r="AN1585" s="3"/>
    </row>
    <row r="1586" spans="3:40">
      <c r="C1586" s="3"/>
      <c r="D1586" s="3"/>
      <c r="E1586" s="3"/>
      <c r="S1586" s="3"/>
      <c r="T1586" s="3"/>
      <c r="AI1586" s="3"/>
      <c r="AJ1586" s="3"/>
      <c r="AK1586" s="3"/>
      <c r="AL1586" s="3"/>
      <c r="AM1586" s="3"/>
      <c r="AN1586" s="3"/>
    </row>
    <row r="1587" spans="3:40">
      <c r="C1587" s="3"/>
      <c r="D1587" s="3"/>
      <c r="E1587" s="3"/>
      <c r="S1587" s="3"/>
      <c r="T1587" s="3"/>
      <c r="AI1587" s="3"/>
      <c r="AJ1587" s="3"/>
      <c r="AK1587" s="3"/>
      <c r="AL1587" s="3"/>
      <c r="AM1587" s="3"/>
      <c r="AN1587" s="3"/>
    </row>
    <row r="1588" spans="3:40">
      <c r="C1588" s="3"/>
      <c r="D1588" s="3"/>
      <c r="E1588" s="3"/>
      <c r="S1588" s="3"/>
      <c r="T1588" s="3"/>
      <c r="AI1588" s="3"/>
      <c r="AJ1588" s="3"/>
      <c r="AK1588" s="3"/>
      <c r="AL1588" s="3"/>
      <c r="AM1588" s="3"/>
      <c r="AN1588" s="3"/>
    </row>
    <row r="1589" spans="3:40">
      <c r="C1589" s="3"/>
      <c r="D1589" s="3"/>
      <c r="E1589" s="3"/>
      <c r="S1589" s="3"/>
      <c r="T1589" s="3"/>
      <c r="AI1589" s="3"/>
      <c r="AJ1589" s="3"/>
      <c r="AK1589" s="3"/>
      <c r="AL1589" s="3"/>
      <c r="AM1589" s="3"/>
      <c r="AN1589" s="3"/>
    </row>
    <row r="1590" spans="3:40">
      <c r="C1590" s="3"/>
      <c r="D1590" s="3"/>
      <c r="E1590" s="3"/>
      <c r="S1590" s="3"/>
      <c r="T1590" s="3"/>
      <c r="AI1590" s="3"/>
      <c r="AJ1590" s="3"/>
      <c r="AK1590" s="3"/>
      <c r="AL1590" s="3"/>
      <c r="AM1590" s="3"/>
      <c r="AN1590" s="3"/>
    </row>
    <row r="1591" spans="3:40">
      <c r="C1591" s="3"/>
      <c r="D1591" s="3"/>
      <c r="E1591" s="3"/>
      <c r="S1591" s="3"/>
      <c r="T1591" s="3"/>
      <c r="AI1591" s="3"/>
      <c r="AJ1591" s="3"/>
      <c r="AK1591" s="3"/>
      <c r="AL1591" s="3"/>
      <c r="AM1591" s="3"/>
      <c r="AN1591" s="3"/>
    </row>
    <row r="1592" spans="3:40">
      <c r="C1592" s="3"/>
      <c r="D1592" s="3"/>
      <c r="E1592" s="3"/>
      <c r="S1592" s="3"/>
      <c r="T1592" s="3"/>
      <c r="AI1592" s="3"/>
      <c r="AJ1592" s="3"/>
      <c r="AK1592" s="3"/>
      <c r="AL1592" s="3"/>
      <c r="AM1592" s="3"/>
      <c r="AN1592" s="3"/>
    </row>
    <row r="1593" spans="3:40">
      <c r="C1593" s="3"/>
      <c r="D1593" s="3"/>
      <c r="E1593" s="3"/>
      <c r="S1593" s="3"/>
      <c r="T1593" s="3"/>
      <c r="AI1593" s="3"/>
      <c r="AJ1593" s="3"/>
      <c r="AK1593" s="3"/>
      <c r="AL1593" s="3"/>
      <c r="AM1593" s="3"/>
      <c r="AN1593" s="3"/>
    </row>
    <row r="1594" spans="3:40">
      <c r="C1594" s="3"/>
      <c r="D1594" s="3"/>
      <c r="E1594" s="3"/>
      <c r="S1594" s="3"/>
      <c r="T1594" s="3"/>
      <c r="AI1594" s="3"/>
      <c r="AJ1594" s="3"/>
      <c r="AK1594" s="3"/>
      <c r="AL1594" s="3"/>
      <c r="AM1594" s="3"/>
      <c r="AN1594" s="3"/>
    </row>
    <row r="1595" spans="3:40">
      <c r="C1595" s="3"/>
      <c r="D1595" s="3"/>
      <c r="E1595" s="3"/>
      <c r="S1595" s="3"/>
      <c r="T1595" s="3"/>
      <c r="AI1595" s="3"/>
      <c r="AJ1595" s="3"/>
      <c r="AK1595" s="3"/>
      <c r="AL1595" s="3"/>
      <c r="AM1595" s="3"/>
      <c r="AN1595" s="3"/>
    </row>
    <row r="1596" spans="3:40">
      <c r="C1596" s="3"/>
      <c r="D1596" s="3"/>
      <c r="E1596" s="3"/>
      <c r="S1596" s="3"/>
      <c r="T1596" s="3"/>
      <c r="AI1596" s="3"/>
      <c r="AJ1596" s="3"/>
      <c r="AK1596" s="3"/>
      <c r="AL1596" s="3"/>
      <c r="AM1596" s="3"/>
      <c r="AN1596" s="3"/>
    </row>
    <row r="1597" spans="3:40">
      <c r="C1597" s="3"/>
      <c r="D1597" s="3"/>
      <c r="E1597" s="3"/>
      <c r="S1597" s="3"/>
      <c r="T1597" s="3"/>
      <c r="AI1597" s="3"/>
      <c r="AJ1597" s="3"/>
      <c r="AK1597" s="3"/>
      <c r="AL1597" s="3"/>
      <c r="AM1597" s="3"/>
      <c r="AN1597" s="3"/>
    </row>
    <row r="1598" spans="3:40">
      <c r="C1598" s="3"/>
      <c r="D1598" s="3"/>
      <c r="E1598" s="3"/>
      <c r="S1598" s="3"/>
      <c r="T1598" s="3"/>
      <c r="AI1598" s="3"/>
      <c r="AJ1598" s="3"/>
      <c r="AK1598" s="3"/>
      <c r="AL1598" s="3"/>
      <c r="AM1598" s="3"/>
      <c r="AN1598" s="3"/>
    </row>
    <row r="1599" spans="3:40">
      <c r="C1599" s="3"/>
      <c r="D1599" s="3"/>
      <c r="E1599" s="3"/>
      <c r="S1599" s="3"/>
      <c r="T1599" s="3"/>
      <c r="AI1599" s="3"/>
      <c r="AJ1599" s="3"/>
      <c r="AK1599" s="3"/>
      <c r="AL1599" s="3"/>
      <c r="AM1599" s="3"/>
      <c r="AN1599" s="3"/>
    </row>
    <row r="1600" spans="3:40">
      <c r="C1600" s="3"/>
      <c r="D1600" s="3"/>
      <c r="E1600" s="3"/>
      <c r="S1600" s="3"/>
      <c r="T1600" s="3"/>
      <c r="AI1600" s="3"/>
      <c r="AJ1600" s="3"/>
      <c r="AK1600" s="3"/>
      <c r="AL1600" s="3"/>
      <c r="AM1600" s="3"/>
      <c r="AN1600" s="3"/>
    </row>
    <row r="1601" spans="3:40">
      <c r="C1601" s="3"/>
      <c r="D1601" s="3"/>
      <c r="E1601" s="3"/>
      <c r="S1601" s="3"/>
      <c r="T1601" s="3"/>
      <c r="AI1601" s="3"/>
      <c r="AJ1601" s="3"/>
      <c r="AK1601" s="3"/>
      <c r="AL1601" s="3"/>
      <c r="AM1601" s="3"/>
      <c r="AN1601" s="3"/>
    </row>
    <row r="1602" spans="3:40">
      <c r="C1602" s="3"/>
      <c r="D1602" s="3"/>
      <c r="E1602" s="3"/>
      <c r="S1602" s="3"/>
      <c r="T1602" s="3"/>
      <c r="AI1602" s="3"/>
      <c r="AJ1602" s="3"/>
      <c r="AK1602" s="3"/>
      <c r="AL1602" s="3"/>
      <c r="AM1602" s="3"/>
      <c r="AN1602" s="3"/>
    </row>
    <row r="1603" spans="3:40">
      <c r="C1603" s="3"/>
      <c r="D1603" s="3"/>
      <c r="E1603" s="3"/>
      <c r="S1603" s="3"/>
      <c r="T1603" s="3"/>
      <c r="AI1603" s="3"/>
      <c r="AJ1603" s="3"/>
      <c r="AK1603" s="3"/>
      <c r="AL1603" s="3"/>
      <c r="AM1603" s="3"/>
      <c r="AN1603" s="3"/>
    </row>
    <row r="1604" spans="3:40">
      <c r="C1604" s="3"/>
      <c r="D1604" s="3"/>
      <c r="E1604" s="3"/>
      <c r="S1604" s="3"/>
      <c r="T1604" s="3"/>
      <c r="AI1604" s="3"/>
      <c r="AJ1604" s="3"/>
      <c r="AK1604" s="3"/>
      <c r="AL1604" s="3"/>
      <c r="AM1604" s="3"/>
      <c r="AN1604" s="3"/>
    </row>
    <row r="1605" spans="3:40">
      <c r="C1605" s="3"/>
      <c r="D1605" s="3"/>
      <c r="E1605" s="3"/>
      <c r="S1605" s="3"/>
      <c r="T1605" s="3"/>
      <c r="AI1605" s="3"/>
      <c r="AJ1605" s="3"/>
      <c r="AK1605" s="3"/>
      <c r="AL1605" s="3"/>
      <c r="AM1605" s="3"/>
      <c r="AN1605" s="3"/>
    </row>
    <row r="1606" spans="3:40">
      <c r="C1606" s="3"/>
      <c r="D1606" s="3"/>
      <c r="E1606" s="3"/>
      <c r="S1606" s="3"/>
      <c r="T1606" s="3"/>
      <c r="AI1606" s="3"/>
      <c r="AJ1606" s="3"/>
      <c r="AK1606" s="3"/>
      <c r="AL1606" s="3"/>
      <c r="AM1606" s="3"/>
      <c r="AN1606" s="3"/>
    </row>
    <row r="1607" spans="3:40">
      <c r="C1607" s="3"/>
      <c r="D1607" s="3"/>
      <c r="E1607" s="3"/>
      <c r="S1607" s="3"/>
      <c r="T1607" s="3"/>
      <c r="AI1607" s="3"/>
      <c r="AJ1607" s="3"/>
      <c r="AK1607" s="3"/>
      <c r="AL1607" s="3"/>
      <c r="AM1607" s="3"/>
      <c r="AN1607" s="3"/>
    </row>
    <row r="1608" spans="3:40">
      <c r="C1608" s="3"/>
      <c r="D1608" s="3"/>
      <c r="E1608" s="3"/>
      <c r="S1608" s="3"/>
      <c r="T1608" s="3"/>
      <c r="AI1608" s="3"/>
      <c r="AJ1608" s="3"/>
      <c r="AK1608" s="3"/>
      <c r="AL1608" s="3"/>
      <c r="AM1608" s="3"/>
      <c r="AN1608" s="3"/>
    </row>
    <row r="1609" spans="3:40">
      <c r="C1609" s="3"/>
      <c r="D1609" s="3"/>
      <c r="E1609" s="3"/>
      <c r="S1609" s="3"/>
      <c r="T1609" s="3"/>
      <c r="AI1609" s="3"/>
      <c r="AJ1609" s="3"/>
      <c r="AK1609" s="3"/>
      <c r="AL1609" s="3"/>
      <c r="AM1609" s="3"/>
      <c r="AN1609" s="3"/>
    </row>
    <row r="1610" spans="3:40">
      <c r="C1610" s="3"/>
      <c r="D1610" s="3"/>
      <c r="E1610" s="3"/>
      <c r="S1610" s="3"/>
      <c r="T1610" s="3"/>
      <c r="AI1610" s="3"/>
      <c r="AJ1610" s="3"/>
      <c r="AK1610" s="3"/>
      <c r="AL1610" s="3"/>
      <c r="AM1610" s="3"/>
      <c r="AN1610" s="3"/>
    </row>
    <row r="1611" spans="3:40">
      <c r="C1611" s="3"/>
      <c r="D1611" s="3"/>
      <c r="E1611" s="3"/>
      <c r="S1611" s="3"/>
      <c r="T1611" s="3"/>
      <c r="AI1611" s="3"/>
      <c r="AJ1611" s="3"/>
      <c r="AK1611" s="3"/>
      <c r="AL1611" s="3"/>
      <c r="AM1611" s="3"/>
      <c r="AN1611" s="3"/>
    </row>
    <row r="1612" spans="3:40">
      <c r="C1612" s="3"/>
      <c r="D1612" s="3"/>
      <c r="E1612" s="3"/>
      <c r="S1612" s="3"/>
      <c r="T1612" s="3"/>
      <c r="AI1612" s="3"/>
      <c r="AJ1612" s="3"/>
      <c r="AK1612" s="3"/>
      <c r="AL1612" s="3"/>
      <c r="AM1612" s="3"/>
      <c r="AN1612" s="3"/>
    </row>
    <row r="1613" spans="3:40">
      <c r="C1613" s="3"/>
      <c r="D1613" s="3"/>
      <c r="E1613" s="3"/>
      <c r="S1613" s="3"/>
      <c r="T1613" s="3"/>
      <c r="AI1613" s="3"/>
      <c r="AJ1613" s="3"/>
      <c r="AK1613" s="3"/>
      <c r="AL1613" s="3"/>
      <c r="AM1613" s="3"/>
      <c r="AN1613" s="3"/>
    </row>
    <row r="1614" spans="3:40">
      <c r="C1614" s="3"/>
      <c r="D1614" s="3"/>
      <c r="E1614" s="3"/>
      <c r="S1614" s="3"/>
      <c r="T1614" s="3"/>
      <c r="AI1614" s="3"/>
      <c r="AJ1614" s="3"/>
      <c r="AK1614" s="3"/>
      <c r="AL1614" s="3"/>
      <c r="AM1614" s="3"/>
      <c r="AN1614" s="3"/>
    </row>
    <row r="1615" spans="3:40">
      <c r="C1615" s="3"/>
      <c r="D1615" s="3"/>
      <c r="E1615" s="3"/>
      <c r="S1615" s="3"/>
      <c r="T1615" s="3"/>
      <c r="AI1615" s="3"/>
      <c r="AJ1615" s="3"/>
      <c r="AK1615" s="3"/>
      <c r="AL1615" s="3"/>
      <c r="AM1615" s="3"/>
      <c r="AN1615" s="3"/>
    </row>
    <row r="1616" spans="3:40">
      <c r="C1616" s="3"/>
      <c r="D1616" s="3"/>
      <c r="E1616" s="3"/>
      <c r="S1616" s="3"/>
      <c r="T1616" s="3"/>
      <c r="AI1616" s="3"/>
      <c r="AJ1616" s="3"/>
      <c r="AK1616" s="3"/>
      <c r="AL1616" s="3"/>
      <c r="AM1616" s="3"/>
      <c r="AN1616" s="3"/>
    </row>
    <row r="1617" spans="3:40">
      <c r="C1617" s="3"/>
      <c r="D1617" s="3"/>
      <c r="E1617" s="3"/>
      <c r="S1617" s="3"/>
      <c r="T1617" s="3"/>
      <c r="AI1617" s="3"/>
      <c r="AJ1617" s="3"/>
      <c r="AK1617" s="3"/>
      <c r="AL1617" s="3"/>
      <c r="AM1617" s="3"/>
      <c r="AN1617" s="3"/>
    </row>
    <row r="1618" spans="3:40">
      <c r="C1618" s="3"/>
      <c r="D1618" s="3"/>
      <c r="E1618" s="3"/>
      <c r="S1618" s="3"/>
      <c r="T1618" s="3"/>
      <c r="AI1618" s="3"/>
      <c r="AJ1618" s="3"/>
      <c r="AK1618" s="3"/>
      <c r="AL1618" s="3"/>
      <c r="AM1618" s="3"/>
      <c r="AN1618" s="3"/>
    </row>
    <row r="1619" spans="3:40">
      <c r="C1619" s="3"/>
      <c r="D1619" s="3"/>
      <c r="E1619" s="3"/>
      <c r="S1619" s="3"/>
      <c r="T1619" s="3"/>
      <c r="AI1619" s="3"/>
      <c r="AJ1619" s="3"/>
      <c r="AK1619" s="3"/>
      <c r="AL1619" s="3"/>
      <c r="AM1619" s="3"/>
      <c r="AN1619" s="3"/>
    </row>
    <row r="1620" spans="3:40">
      <c r="C1620" s="3"/>
      <c r="D1620" s="3"/>
      <c r="E1620" s="3"/>
      <c r="S1620" s="3"/>
      <c r="T1620" s="3"/>
      <c r="AI1620" s="3"/>
      <c r="AJ1620" s="3"/>
      <c r="AK1620" s="3"/>
      <c r="AL1620" s="3"/>
      <c r="AM1620" s="3"/>
      <c r="AN1620" s="3"/>
    </row>
    <row r="1621" spans="3:40">
      <c r="C1621" s="3"/>
      <c r="D1621" s="3"/>
      <c r="E1621" s="3"/>
      <c r="S1621" s="3"/>
      <c r="T1621" s="3"/>
      <c r="AI1621" s="3"/>
      <c r="AJ1621" s="3"/>
      <c r="AK1621" s="3"/>
      <c r="AL1621" s="3"/>
      <c r="AM1621" s="3"/>
      <c r="AN1621" s="3"/>
    </row>
    <row r="1622" spans="3:40">
      <c r="C1622" s="3"/>
      <c r="D1622" s="3"/>
      <c r="E1622" s="3"/>
      <c r="S1622" s="3"/>
      <c r="T1622" s="3"/>
      <c r="AI1622" s="3"/>
      <c r="AJ1622" s="3"/>
      <c r="AK1622" s="3"/>
      <c r="AL1622" s="3"/>
      <c r="AM1622" s="3"/>
      <c r="AN1622" s="3"/>
    </row>
    <row r="1623" spans="3:40">
      <c r="C1623" s="3"/>
      <c r="D1623" s="3"/>
      <c r="E1623" s="3"/>
      <c r="S1623" s="3"/>
      <c r="T1623" s="3"/>
      <c r="AI1623" s="3"/>
      <c r="AJ1623" s="3"/>
      <c r="AK1623" s="3"/>
      <c r="AL1623" s="3"/>
      <c r="AM1623" s="3"/>
      <c r="AN1623" s="3"/>
    </row>
    <row r="1624" spans="3:40">
      <c r="C1624" s="3"/>
      <c r="D1624" s="3"/>
      <c r="E1624" s="3"/>
      <c r="S1624" s="3"/>
      <c r="T1624" s="3"/>
      <c r="AI1624" s="3"/>
      <c r="AJ1624" s="3"/>
      <c r="AK1624" s="3"/>
      <c r="AL1624" s="3"/>
      <c r="AM1624" s="3"/>
      <c r="AN1624" s="3"/>
    </row>
    <row r="1625" spans="3:40">
      <c r="C1625" s="3"/>
      <c r="D1625" s="3"/>
      <c r="E1625" s="3"/>
      <c r="S1625" s="3"/>
      <c r="T1625" s="3"/>
      <c r="AI1625" s="3"/>
      <c r="AJ1625" s="3"/>
      <c r="AK1625" s="3"/>
      <c r="AL1625" s="3"/>
      <c r="AM1625" s="3"/>
      <c r="AN1625" s="3"/>
    </row>
    <row r="1626" spans="3:40">
      <c r="C1626" s="3"/>
      <c r="D1626" s="3"/>
      <c r="E1626" s="3"/>
      <c r="S1626" s="3"/>
      <c r="T1626" s="3"/>
      <c r="AI1626" s="3"/>
      <c r="AJ1626" s="3"/>
      <c r="AK1626" s="3"/>
      <c r="AL1626" s="3"/>
      <c r="AM1626" s="3"/>
      <c r="AN1626" s="3"/>
    </row>
    <row r="1627" spans="3:40">
      <c r="C1627" s="3"/>
      <c r="D1627" s="3"/>
      <c r="E1627" s="3"/>
      <c r="S1627" s="3"/>
      <c r="T1627" s="3"/>
      <c r="AI1627" s="3"/>
      <c r="AJ1627" s="3"/>
      <c r="AK1627" s="3"/>
      <c r="AL1627" s="3"/>
      <c r="AM1627" s="3"/>
      <c r="AN1627" s="3"/>
    </row>
    <row r="1628" spans="3:40">
      <c r="C1628" s="3"/>
      <c r="D1628" s="3"/>
      <c r="E1628" s="3"/>
      <c r="S1628" s="3"/>
      <c r="T1628" s="3"/>
      <c r="AI1628" s="3"/>
      <c r="AJ1628" s="3"/>
      <c r="AK1628" s="3"/>
      <c r="AL1628" s="3"/>
      <c r="AM1628" s="3"/>
      <c r="AN1628" s="3"/>
    </row>
    <row r="1629" spans="3:40">
      <c r="C1629" s="3"/>
      <c r="D1629" s="3"/>
      <c r="E1629" s="3"/>
      <c r="S1629" s="3"/>
      <c r="T1629" s="3"/>
      <c r="AI1629" s="3"/>
      <c r="AJ1629" s="3"/>
      <c r="AK1629" s="3"/>
      <c r="AL1629" s="3"/>
      <c r="AM1629" s="3"/>
      <c r="AN1629" s="3"/>
    </row>
    <row r="1630" spans="3:40">
      <c r="C1630" s="3"/>
      <c r="D1630" s="3"/>
      <c r="E1630" s="3"/>
      <c r="S1630" s="3"/>
      <c r="T1630" s="3"/>
      <c r="AI1630" s="3"/>
      <c r="AJ1630" s="3"/>
      <c r="AK1630" s="3"/>
      <c r="AL1630" s="3"/>
      <c r="AM1630" s="3"/>
      <c r="AN1630" s="3"/>
    </row>
    <row r="1631" spans="3:40">
      <c r="C1631" s="3"/>
      <c r="D1631" s="3"/>
      <c r="E1631" s="3"/>
      <c r="S1631" s="3"/>
      <c r="T1631" s="3"/>
      <c r="AI1631" s="3"/>
      <c r="AJ1631" s="3"/>
      <c r="AK1631" s="3"/>
      <c r="AL1631" s="3"/>
      <c r="AM1631" s="3"/>
      <c r="AN1631" s="3"/>
    </row>
    <row r="1632" spans="3:40">
      <c r="C1632" s="3"/>
      <c r="D1632" s="3"/>
      <c r="E1632" s="3"/>
      <c r="S1632" s="3"/>
      <c r="T1632" s="3"/>
      <c r="AI1632" s="3"/>
      <c r="AJ1632" s="3"/>
      <c r="AK1632" s="3"/>
      <c r="AL1632" s="3"/>
      <c r="AM1632" s="3"/>
      <c r="AN1632" s="3"/>
    </row>
    <row r="1633" spans="3:40">
      <c r="C1633" s="3"/>
      <c r="D1633" s="3"/>
      <c r="E1633" s="3"/>
      <c r="S1633" s="3"/>
      <c r="T1633" s="3"/>
      <c r="AI1633" s="3"/>
      <c r="AJ1633" s="3"/>
      <c r="AK1633" s="3"/>
      <c r="AL1633" s="3"/>
      <c r="AM1633" s="3"/>
      <c r="AN1633" s="3"/>
    </row>
    <row r="1634" spans="3:40">
      <c r="C1634" s="3"/>
      <c r="D1634" s="3"/>
      <c r="E1634" s="3"/>
      <c r="S1634" s="3"/>
      <c r="T1634" s="3"/>
      <c r="AI1634" s="3"/>
      <c r="AJ1634" s="3"/>
      <c r="AK1634" s="3"/>
      <c r="AL1634" s="3"/>
      <c r="AM1634" s="3"/>
      <c r="AN1634" s="3"/>
    </row>
    <row r="1635" spans="3:40">
      <c r="C1635" s="3"/>
      <c r="D1635" s="3"/>
      <c r="E1635" s="3"/>
      <c r="S1635" s="3"/>
      <c r="T1635" s="3"/>
      <c r="AI1635" s="3"/>
      <c r="AJ1635" s="3"/>
      <c r="AK1635" s="3"/>
      <c r="AL1635" s="3"/>
      <c r="AM1635" s="3"/>
      <c r="AN1635" s="3"/>
    </row>
    <row r="1636" spans="3:40">
      <c r="C1636" s="3"/>
      <c r="D1636" s="3"/>
      <c r="E1636" s="3"/>
      <c r="S1636" s="3"/>
      <c r="T1636" s="3"/>
      <c r="AI1636" s="3"/>
      <c r="AJ1636" s="3"/>
      <c r="AK1636" s="3"/>
      <c r="AL1636" s="3"/>
      <c r="AM1636" s="3"/>
      <c r="AN1636" s="3"/>
    </row>
    <row r="1637" spans="3:40">
      <c r="C1637" s="3"/>
      <c r="D1637" s="3"/>
      <c r="E1637" s="3"/>
      <c r="S1637" s="3"/>
      <c r="T1637" s="3"/>
      <c r="AI1637" s="3"/>
      <c r="AJ1637" s="3"/>
      <c r="AK1637" s="3"/>
      <c r="AL1637" s="3"/>
      <c r="AM1637" s="3"/>
      <c r="AN1637" s="3"/>
    </row>
    <row r="1638" spans="3:40">
      <c r="C1638" s="3"/>
      <c r="D1638" s="3"/>
      <c r="E1638" s="3"/>
      <c r="S1638" s="3"/>
      <c r="T1638" s="3"/>
      <c r="AI1638" s="3"/>
      <c r="AJ1638" s="3"/>
      <c r="AK1638" s="3"/>
      <c r="AL1638" s="3"/>
      <c r="AM1638" s="3"/>
      <c r="AN1638" s="3"/>
    </row>
    <row r="1639" spans="3:40">
      <c r="C1639" s="3"/>
      <c r="D1639" s="3"/>
      <c r="E1639" s="3"/>
      <c r="S1639" s="3"/>
      <c r="T1639" s="3"/>
      <c r="AI1639" s="3"/>
      <c r="AJ1639" s="3"/>
      <c r="AK1639" s="3"/>
      <c r="AL1639" s="3"/>
      <c r="AM1639" s="3"/>
      <c r="AN1639" s="3"/>
    </row>
    <row r="1640" spans="3:40">
      <c r="C1640" s="3"/>
      <c r="D1640" s="3"/>
      <c r="E1640" s="3"/>
      <c r="S1640" s="3"/>
      <c r="T1640" s="3"/>
      <c r="AI1640" s="3"/>
      <c r="AJ1640" s="3"/>
      <c r="AK1640" s="3"/>
      <c r="AL1640" s="3"/>
      <c r="AM1640" s="3"/>
      <c r="AN1640" s="3"/>
    </row>
    <row r="1641" spans="3:40">
      <c r="C1641" s="3"/>
      <c r="D1641" s="3"/>
      <c r="E1641" s="3"/>
      <c r="S1641" s="3"/>
      <c r="T1641" s="3"/>
      <c r="AI1641" s="3"/>
      <c r="AJ1641" s="3"/>
      <c r="AK1641" s="3"/>
      <c r="AL1641" s="3"/>
      <c r="AM1641" s="3"/>
      <c r="AN1641" s="3"/>
    </row>
    <row r="1642" spans="3:40">
      <c r="C1642" s="3"/>
      <c r="D1642" s="3"/>
      <c r="E1642" s="3"/>
      <c r="S1642" s="3"/>
      <c r="T1642" s="3"/>
      <c r="AI1642" s="3"/>
      <c r="AJ1642" s="3"/>
      <c r="AK1642" s="3"/>
      <c r="AL1642" s="3"/>
      <c r="AM1642" s="3"/>
      <c r="AN1642" s="3"/>
    </row>
    <row r="1643" spans="3:40">
      <c r="C1643" s="3"/>
      <c r="D1643" s="3"/>
      <c r="E1643" s="3"/>
      <c r="S1643" s="3"/>
      <c r="T1643" s="3"/>
      <c r="AI1643" s="3"/>
      <c r="AJ1643" s="3"/>
      <c r="AK1643" s="3"/>
      <c r="AL1643" s="3"/>
      <c r="AM1643" s="3"/>
      <c r="AN1643" s="3"/>
    </row>
    <row r="1644" spans="3:40">
      <c r="C1644" s="3"/>
      <c r="D1644" s="3"/>
      <c r="E1644" s="3"/>
      <c r="S1644" s="3"/>
      <c r="T1644" s="3"/>
      <c r="AI1644" s="3"/>
      <c r="AJ1644" s="3"/>
      <c r="AK1644" s="3"/>
      <c r="AL1644" s="3"/>
      <c r="AM1644" s="3"/>
      <c r="AN1644" s="3"/>
    </row>
    <row r="1645" spans="3:40">
      <c r="C1645" s="3"/>
      <c r="D1645" s="3"/>
      <c r="E1645" s="3"/>
      <c r="S1645" s="3"/>
      <c r="T1645" s="3"/>
      <c r="AI1645" s="3"/>
      <c r="AJ1645" s="3"/>
      <c r="AK1645" s="3"/>
      <c r="AL1645" s="3"/>
      <c r="AM1645" s="3"/>
      <c r="AN1645" s="3"/>
    </row>
    <row r="1646" spans="3:40">
      <c r="C1646" s="3"/>
      <c r="D1646" s="3"/>
      <c r="E1646" s="3"/>
      <c r="S1646" s="3"/>
      <c r="T1646" s="3"/>
      <c r="AI1646" s="3"/>
      <c r="AJ1646" s="3"/>
      <c r="AK1646" s="3"/>
      <c r="AL1646" s="3"/>
      <c r="AM1646" s="3"/>
      <c r="AN1646" s="3"/>
    </row>
    <row r="1647" spans="3:40">
      <c r="C1647" s="3"/>
      <c r="D1647" s="3"/>
      <c r="E1647" s="3"/>
      <c r="S1647" s="3"/>
      <c r="T1647" s="3"/>
      <c r="AI1647" s="3"/>
      <c r="AJ1647" s="3"/>
      <c r="AK1647" s="3"/>
      <c r="AL1647" s="3"/>
      <c r="AM1647" s="3"/>
      <c r="AN1647" s="3"/>
    </row>
    <row r="1648" spans="3:40">
      <c r="C1648" s="3"/>
      <c r="D1648" s="3"/>
      <c r="E1648" s="3"/>
      <c r="S1648" s="3"/>
      <c r="T1648" s="3"/>
      <c r="AI1648" s="3"/>
      <c r="AJ1648" s="3"/>
      <c r="AK1648" s="3"/>
      <c r="AL1648" s="3"/>
      <c r="AM1648" s="3"/>
      <c r="AN1648" s="3"/>
    </row>
    <row r="1649" spans="3:40">
      <c r="C1649" s="3"/>
      <c r="D1649" s="3"/>
      <c r="E1649" s="3"/>
      <c r="S1649" s="3"/>
      <c r="T1649" s="3"/>
      <c r="AI1649" s="3"/>
      <c r="AJ1649" s="3"/>
      <c r="AK1649" s="3"/>
      <c r="AL1649" s="3"/>
      <c r="AM1649" s="3"/>
      <c r="AN1649" s="3"/>
    </row>
    <row r="1650" spans="3:40">
      <c r="C1650" s="3"/>
      <c r="D1650" s="3"/>
      <c r="E1650" s="3"/>
      <c r="S1650" s="3"/>
      <c r="T1650" s="3"/>
      <c r="AI1650" s="3"/>
      <c r="AJ1650" s="3"/>
      <c r="AK1650" s="3"/>
      <c r="AL1650" s="3"/>
      <c r="AM1650" s="3"/>
      <c r="AN1650" s="3"/>
    </row>
    <row r="1651" spans="3:40">
      <c r="C1651" s="3"/>
      <c r="D1651" s="3"/>
      <c r="E1651" s="3"/>
      <c r="S1651" s="3"/>
      <c r="T1651" s="3"/>
      <c r="AI1651" s="3"/>
      <c r="AJ1651" s="3"/>
      <c r="AK1651" s="3"/>
      <c r="AL1651" s="3"/>
      <c r="AM1651" s="3"/>
      <c r="AN1651" s="3"/>
    </row>
    <row r="1652" spans="3:40">
      <c r="C1652" s="3"/>
      <c r="D1652" s="3"/>
      <c r="E1652" s="3"/>
      <c r="S1652" s="3"/>
      <c r="T1652" s="3"/>
      <c r="AI1652" s="3"/>
      <c r="AJ1652" s="3"/>
      <c r="AK1652" s="3"/>
      <c r="AL1652" s="3"/>
      <c r="AM1652" s="3"/>
      <c r="AN1652" s="3"/>
    </row>
    <row r="1653" spans="3:40">
      <c r="C1653" s="3"/>
      <c r="D1653" s="3"/>
      <c r="E1653" s="3"/>
      <c r="S1653" s="3"/>
      <c r="T1653" s="3"/>
      <c r="AI1653" s="3"/>
      <c r="AJ1653" s="3"/>
      <c r="AK1653" s="3"/>
      <c r="AL1653" s="3"/>
      <c r="AM1653" s="3"/>
      <c r="AN1653" s="3"/>
    </row>
    <row r="1654" spans="3:40">
      <c r="C1654" s="3"/>
      <c r="D1654" s="3"/>
      <c r="E1654" s="3"/>
      <c r="S1654" s="3"/>
      <c r="T1654" s="3"/>
      <c r="AI1654" s="3"/>
      <c r="AJ1654" s="3"/>
      <c r="AK1654" s="3"/>
      <c r="AL1654" s="3"/>
      <c r="AM1654" s="3"/>
      <c r="AN1654" s="3"/>
    </row>
    <row r="1655" spans="3:40">
      <c r="C1655" s="3"/>
      <c r="D1655" s="3"/>
      <c r="E1655" s="3"/>
      <c r="S1655" s="3"/>
      <c r="T1655" s="3"/>
      <c r="AI1655" s="3"/>
      <c r="AJ1655" s="3"/>
      <c r="AK1655" s="3"/>
      <c r="AL1655" s="3"/>
      <c r="AM1655" s="3"/>
      <c r="AN1655" s="3"/>
    </row>
    <row r="1656" spans="3:40">
      <c r="C1656" s="3"/>
      <c r="D1656" s="3"/>
      <c r="E1656" s="3"/>
      <c r="S1656" s="3"/>
      <c r="T1656" s="3"/>
      <c r="AI1656" s="3"/>
      <c r="AJ1656" s="3"/>
      <c r="AK1656" s="3"/>
      <c r="AL1656" s="3"/>
      <c r="AM1656" s="3"/>
      <c r="AN1656" s="3"/>
    </row>
    <row r="1657" spans="3:40">
      <c r="C1657" s="3"/>
      <c r="D1657" s="3"/>
      <c r="E1657" s="3"/>
      <c r="S1657" s="3"/>
      <c r="T1657" s="3"/>
      <c r="AI1657" s="3"/>
      <c r="AJ1657" s="3"/>
      <c r="AK1657" s="3"/>
      <c r="AL1657" s="3"/>
      <c r="AM1657" s="3"/>
      <c r="AN1657" s="3"/>
    </row>
    <row r="1658" spans="3:40">
      <c r="C1658" s="3"/>
      <c r="D1658" s="3"/>
      <c r="E1658" s="3"/>
      <c r="S1658" s="3"/>
      <c r="T1658" s="3"/>
      <c r="AI1658" s="3"/>
      <c r="AJ1658" s="3"/>
      <c r="AK1658" s="3"/>
      <c r="AL1658" s="3"/>
      <c r="AM1658" s="3"/>
      <c r="AN1658" s="3"/>
    </row>
    <row r="1659" spans="3:40">
      <c r="C1659" s="3"/>
      <c r="D1659" s="3"/>
      <c r="E1659" s="3"/>
      <c r="S1659" s="3"/>
      <c r="T1659" s="3"/>
      <c r="AI1659" s="3"/>
      <c r="AJ1659" s="3"/>
      <c r="AK1659" s="3"/>
      <c r="AL1659" s="3"/>
      <c r="AM1659" s="3"/>
      <c r="AN1659" s="3"/>
    </row>
    <row r="1660" spans="3:40">
      <c r="C1660" s="3"/>
      <c r="D1660" s="3"/>
      <c r="E1660" s="3"/>
      <c r="S1660" s="3"/>
      <c r="T1660" s="3"/>
      <c r="AI1660" s="3"/>
      <c r="AJ1660" s="3"/>
      <c r="AK1660" s="3"/>
      <c r="AL1660" s="3"/>
      <c r="AM1660" s="3"/>
      <c r="AN1660" s="3"/>
    </row>
    <row r="1661" spans="3:40">
      <c r="C1661" s="3"/>
      <c r="D1661" s="3"/>
      <c r="E1661" s="3"/>
      <c r="S1661" s="3"/>
      <c r="T1661" s="3"/>
      <c r="AI1661" s="3"/>
      <c r="AJ1661" s="3"/>
      <c r="AK1661" s="3"/>
      <c r="AL1661" s="3"/>
      <c r="AM1661" s="3"/>
      <c r="AN1661" s="3"/>
    </row>
    <row r="1662" spans="3:40">
      <c r="C1662" s="3"/>
      <c r="D1662" s="3"/>
      <c r="E1662" s="3"/>
      <c r="S1662" s="3"/>
      <c r="T1662" s="3"/>
      <c r="AI1662" s="3"/>
      <c r="AJ1662" s="3"/>
      <c r="AK1662" s="3"/>
      <c r="AL1662" s="3"/>
      <c r="AM1662" s="3"/>
      <c r="AN1662" s="3"/>
    </row>
    <row r="1663" spans="3:40">
      <c r="C1663" s="3"/>
      <c r="D1663" s="3"/>
      <c r="E1663" s="3"/>
      <c r="S1663" s="3"/>
      <c r="T1663" s="3"/>
      <c r="AI1663" s="3"/>
      <c r="AJ1663" s="3"/>
      <c r="AK1663" s="3"/>
      <c r="AL1663" s="3"/>
      <c r="AM1663" s="3"/>
      <c r="AN1663" s="3"/>
    </row>
    <row r="1664" spans="3:40">
      <c r="C1664" s="3"/>
      <c r="D1664" s="3"/>
      <c r="E1664" s="3"/>
      <c r="S1664" s="3"/>
      <c r="T1664" s="3"/>
      <c r="AI1664" s="3"/>
      <c r="AJ1664" s="3"/>
      <c r="AK1664" s="3"/>
      <c r="AL1664" s="3"/>
      <c r="AM1664" s="3"/>
      <c r="AN1664" s="3"/>
    </row>
    <row r="1665" spans="3:40">
      <c r="C1665" s="3"/>
      <c r="D1665" s="3"/>
      <c r="E1665" s="3"/>
      <c r="S1665" s="3"/>
      <c r="T1665" s="3"/>
      <c r="AI1665" s="3"/>
      <c r="AJ1665" s="3"/>
      <c r="AK1665" s="3"/>
      <c r="AL1665" s="3"/>
      <c r="AM1665" s="3"/>
      <c r="AN1665" s="3"/>
    </row>
    <row r="1666" spans="3:40">
      <c r="C1666" s="3"/>
      <c r="D1666" s="3"/>
      <c r="E1666" s="3"/>
      <c r="S1666" s="3"/>
      <c r="T1666" s="3"/>
      <c r="AI1666" s="3"/>
      <c r="AJ1666" s="3"/>
      <c r="AK1666" s="3"/>
      <c r="AL1666" s="3"/>
      <c r="AM1666" s="3"/>
      <c r="AN1666" s="3"/>
    </row>
    <row r="1667" spans="3:40">
      <c r="C1667" s="3"/>
      <c r="D1667" s="3"/>
      <c r="E1667" s="3"/>
      <c r="S1667" s="3"/>
      <c r="T1667" s="3"/>
      <c r="AI1667" s="3"/>
      <c r="AJ1667" s="3"/>
      <c r="AK1667" s="3"/>
      <c r="AL1667" s="3"/>
      <c r="AM1667" s="3"/>
      <c r="AN1667" s="3"/>
    </row>
    <row r="1668" spans="3:40">
      <c r="C1668" s="3"/>
      <c r="D1668" s="3"/>
      <c r="E1668" s="3"/>
      <c r="S1668" s="3"/>
      <c r="T1668" s="3"/>
      <c r="AI1668" s="3"/>
      <c r="AJ1668" s="3"/>
      <c r="AK1668" s="3"/>
      <c r="AL1668" s="3"/>
      <c r="AM1668" s="3"/>
      <c r="AN1668" s="3"/>
    </row>
    <row r="1669" spans="3:40">
      <c r="C1669" s="3"/>
      <c r="D1669" s="3"/>
      <c r="E1669" s="3"/>
      <c r="S1669" s="3"/>
      <c r="T1669" s="3"/>
      <c r="AI1669" s="3"/>
      <c r="AJ1669" s="3"/>
      <c r="AK1669" s="3"/>
      <c r="AL1669" s="3"/>
      <c r="AM1669" s="3"/>
      <c r="AN1669" s="3"/>
    </row>
    <row r="1670" spans="3:40">
      <c r="C1670" s="3"/>
      <c r="D1670" s="3"/>
      <c r="E1670" s="3"/>
      <c r="S1670" s="3"/>
      <c r="T1670" s="3"/>
      <c r="AI1670" s="3"/>
      <c r="AJ1670" s="3"/>
      <c r="AK1670" s="3"/>
      <c r="AL1670" s="3"/>
      <c r="AM1670" s="3"/>
      <c r="AN1670" s="3"/>
    </row>
    <row r="1671" spans="3:40">
      <c r="C1671" s="3"/>
      <c r="D1671" s="3"/>
      <c r="E1671" s="3"/>
      <c r="S1671" s="3"/>
      <c r="T1671" s="3"/>
      <c r="AI1671" s="3"/>
      <c r="AJ1671" s="3"/>
      <c r="AK1671" s="3"/>
      <c r="AL1671" s="3"/>
      <c r="AM1671" s="3"/>
      <c r="AN1671" s="3"/>
    </row>
    <row r="1672" spans="3:40">
      <c r="C1672" s="3"/>
      <c r="D1672" s="3"/>
      <c r="E1672" s="3"/>
      <c r="S1672" s="3"/>
      <c r="T1672" s="3"/>
      <c r="AI1672" s="3"/>
      <c r="AJ1672" s="3"/>
      <c r="AK1672" s="3"/>
      <c r="AL1672" s="3"/>
      <c r="AM1672" s="3"/>
      <c r="AN1672" s="3"/>
    </row>
    <row r="1673" spans="3:40">
      <c r="C1673" s="3"/>
      <c r="D1673" s="3"/>
      <c r="E1673" s="3"/>
      <c r="S1673" s="3"/>
      <c r="T1673" s="3"/>
      <c r="AI1673" s="3"/>
      <c r="AJ1673" s="3"/>
      <c r="AK1673" s="3"/>
      <c r="AL1673" s="3"/>
      <c r="AM1673" s="3"/>
      <c r="AN1673" s="3"/>
    </row>
    <row r="1674" spans="3:40">
      <c r="C1674" s="3"/>
      <c r="D1674" s="3"/>
      <c r="E1674" s="3"/>
      <c r="S1674" s="3"/>
      <c r="T1674" s="3"/>
      <c r="AI1674" s="3"/>
      <c r="AJ1674" s="3"/>
      <c r="AK1674" s="3"/>
      <c r="AL1674" s="3"/>
      <c r="AM1674" s="3"/>
      <c r="AN1674" s="3"/>
    </row>
    <row r="1675" spans="3:40">
      <c r="C1675" s="3"/>
      <c r="D1675" s="3"/>
      <c r="E1675" s="3"/>
      <c r="S1675" s="3"/>
      <c r="T1675" s="3"/>
      <c r="AI1675" s="3"/>
      <c r="AJ1675" s="3"/>
      <c r="AK1675" s="3"/>
      <c r="AL1675" s="3"/>
      <c r="AM1675" s="3"/>
      <c r="AN1675" s="3"/>
    </row>
    <row r="1676" spans="3:40">
      <c r="C1676" s="3"/>
      <c r="D1676" s="3"/>
      <c r="E1676" s="3"/>
      <c r="S1676" s="3"/>
      <c r="T1676" s="3"/>
      <c r="AI1676" s="3"/>
      <c r="AJ1676" s="3"/>
      <c r="AK1676" s="3"/>
      <c r="AL1676" s="3"/>
      <c r="AM1676" s="3"/>
      <c r="AN1676" s="3"/>
    </row>
    <row r="1677" spans="3:40">
      <c r="C1677" s="3"/>
      <c r="D1677" s="3"/>
      <c r="E1677" s="3"/>
      <c r="S1677" s="3"/>
      <c r="T1677" s="3"/>
      <c r="AI1677" s="3"/>
      <c r="AJ1677" s="3"/>
      <c r="AK1677" s="3"/>
      <c r="AL1677" s="3"/>
      <c r="AM1677" s="3"/>
      <c r="AN1677" s="3"/>
    </row>
    <row r="1678" spans="3:40">
      <c r="C1678" s="3"/>
      <c r="D1678" s="3"/>
      <c r="E1678" s="3"/>
      <c r="S1678" s="3"/>
      <c r="T1678" s="3"/>
      <c r="AI1678" s="3"/>
      <c r="AJ1678" s="3"/>
      <c r="AK1678" s="3"/>
      <c r="AL1678" s="3"/>
      <c r="AM1678" s="3"/>
      <c r="AN1678" s="3"/>
    </row>
    <row r="1679" spans="3:40">
      <c r="C1679" s="3"/>
      <c r="D1679" s="3"/>
      <c r="E1679" s="3"/>
      <c r="S1679" s="3"/>
      <c r="T1679" s="3"/>
      <c r="AI1679" s="3"/>
      <c r="AJ1679" s="3"/>
      <c r="AK1679" s="3"/>
      <c r="AL1679" s="3"/>
      <c r="AM1679" s="3"/>
      <c r="AN1679" s="3"/>
    </row>
    <row r="1680" spans="3:40">
      <c r="C1680" s="3"/>
      <c r="D1680" s="3"/>
      <c r="E1680" s="3"/>
      <c r="S1680" s="3"/>
      <c r="T1680" s="3"/>
      <c r="AI1680" s="3"/>
      <c r="AJ1680" s="3"/>
      <c r="AK1680" s="3"/>
      <c r="AL1680" s="3"/>
      <c r="AM1680" s="3"/>
      <c r="AN1680" s="3"/>
    </row>
    <row r="1681" spans="3:40">
      <c r="C1681" s="3"/>
      <c r="D1681" s="3"/>
      <c r="E1681" s="3"/>
      <c r="S1681" s="3"/>
      <c r="T1681" s="3"/>
      <c r="AI1681" s="3"/>
      <c r="AJ1681" s="3"/>
      <c r="AK1681" s="3"/>
      <c r="AL1681" s="3"/>
      <c r="AM1681" s="3"/>
      <c r="AN1681" s="3"/>
    </row>
    <row r="1682" spans="3:40">
      <c r="C1682" s="3"/>
      <c r="D1682" s="3"/>
      <c r="E1682" s="3"/>
      <c r="S1682" s="3"/>
      <c r="T1682" s="3"/>
      <c r="AI1682" s="3"/>
      <c r="AJ1682" s="3"/>
      <c r="AK1682" s="3"/>
      <c r="AL1682" s="3"/>
      <c r="AM1682" s="3"/>
      <c r="AN1682" s="3"/>
    </row>
    <row r="1683" spans="3:40">
      <c r="C1683" s="3"/>
      <c r="D1683" s="3"/>
      <c r="E1683" s="3"/>
      <c r="S1683" s="3"/>
      <c r="T1683" s="3"/>
      <c r="AI1683" s="3"/>
      <c r="AJ1683" s="3"/>
      <c r="AK1683" s="3"/>
      <c r="AL1683" s="3"/>
      <c r="AM1683" s="3"/>
      <c r="AN1683" s="3"/>
    </row>
    <row r="1684" spans="3:40">
      <c r="C1684" s="3"/>
      <c r="D1684" s="3"/>
      <c r="E1684" s="3"/>
      <c r="S1684" s="3"/>
      <c r="T1684" s="3"/>
      <c r="AI1684" s="3"/>
      <c r="AJ1684" s="3"/>
      <c r="AK1684" s="3"/>
      <c r="AL1684" s="3"/>
      <c r="AM1684" s="3"/>
      <c r="AN1684" s="3"/>
    </row>
    <row r="1685" spans="3:40">
      <c r="C1685" s="3"/>
      <c r="D1685" s="3"/>
      <c r="E1685" s="3"/>
      <c r="S1685" s="3"/>
      <c r="T1685" s="3"/>
      <c r="AI1685" s="3"/>
      <c r="AJ1685" s="3"/>
      <c r="AK1685" s="3"/>
      <c r="AL1685" s="3"/>
      <c r="AM1685" s="3"/>
      <c r="AN1685" s="3"/>
    </row>
    <row r="1686" spans="3:40">
      <c r="C1686" s="3"/>
      <c r="D1686" s="3"/>
      <c r="E1686" s="3"/>
      <c r="S1686" s="3"/>
      <c r="T1686" s="3"/>
      <c r="AI1686" s="3"/>
      <c r="AJ1686" s="3"/>
      <c r="AK1686" s="3"/>
      <c r="AL1686" s="3"/>
      <c r="AM1686" s="3"/>
      <c r="AN1686" s="3"/>
    </row>
    <row r="1687" spans="3:40">
      <c r="C1687" s="3"/>
      <c r="D1687" s="3"/>
      <c r="E1687" s="3"/>
      <c r="S1687" s="3"/>
      <c r="T1687" s="3"/>
      <c r="AI1687" s="3"/>
      <c r="AJ1687" s="3"/>
      <c r="AK1687" s="3"/>
      <c r="AL1687" s="3"/>
      <c r="AM1687" s="3"/>
      <c r="AN1687" s="3"/>
    </row>
    <row r="1688" spans="3:40">
      <c r="C1688" s="3"/>
      <c r="D1688" s="3"/>
      <c r="E1688" s="3"/>
      <c r="S1688" s="3"/>
      <c r="T1688" s="3"/>
      <c r="AI1688" s="3"/>
      <c r="AJ1688" s="3"/>
      <c r="AK1688" s="3"/>
      <c r="AL1688" s="3"/>
      <c r="AM1688" s="3"/>
      <c r="AN1688" s="3"/>
    </row>
    <row r="1689" spans="3:40">
      <c r="C1689" s="3"/>
      <c r="D1689" s="3"/>
      <c r="E1689" s="3"/>
      <c r="S1689" s="3"/>
      <c r="T1689" s="3"/>
      <c r="AI1689" s="3"/>
      <c r="AJ1689" s="3"/>
      <c r="AK1689" s="3"/>
      <c r="AL1689" s="3"/>
      <c r="AM1689" s="3"/>
      <c r="AN1689" s="3"/>
    </row>
    <row r="1690" spans="3:40">
      <c r="C1690" s="3"/>
      <c r="D1690" s="3"/>
      <c r="E1690" s="3"/>
      <c r="S1690" s="3"/>
      <c r="T1690" s="3"/>
      <c r="AI1690" s="3"/>
      <c r="AJ1690" s="3"/>
      <c r="AK1690" s="3"/>
      <c r="AL1690" s="3"/>
      <c r="AM1690" s="3"/>
      <c r="AN1690" s="3"/>
    </row>
    <row r="1691" spans="3:40">
      <c r="C1691" s="3"/>
      <c r="D1691" s="3"/>
      <c r="E1691" s="3"/>
      <c r="S1691" s="3"/>
      <c r="T1691" s="3"/>
      <c r="AI1691" s="3"/>
      <c r="AJ1691" s="3"/>
      <c r="AK1691" s="3"/>
      <c r="AL1691" s="3"/>
      <c r="AM1691" s="3"/>
      <c r="AN1691" s="3"/>
    </row>
    <row r="1692" spans="3:40">
      <c r="C1692" s="3"/>
      <c r="D1692" s="3"/>
      <c r="E1692" s="3"/>
      <c r="S1692" s="3"/>
      <c r="T1692" s="3"/>
      <c r="AI1692" s="3"/>
      <c r="AJ1692" s="3"/>
      <c r="AK1692" s="3"/>
      <c r="AL1692" s="3"/>
      <c r="AM1692" s="3"/>
      <c r="AN1692" s="3"/>
    </row>
    <row r="1693" spans="3:40">
      <c r="C1693" s="3"/>
      <c r="D1693" s="3"/>
      <c r="E1693" s="3"/>
      <c r="S1693" s="3"/>
      <c r="T1693" s="3"/>
      <c r="AI1693" s="3"/>
      <c r="AJ1693" s="3"/>
      <c r="AK1693" s="3"/>
      <c r="AL1693" s="3"/>
      <c r="AM1693" s="3"/>
      <c r="AN1693" s="3"/>
    </row>
    <row r="1694" spans="3:40">
      <c r="C1694" s="3"/>
      <c r="D1694" s="3"/>
      <c r="E1694" s="3"/>
      <c r="S1694" s="3"/>
      <c r="T1694" s="3"/>
      <c r="AI1694" s="3"/>
      <c r="AJ1694" s="3"/>
      <c r="AK1694" s="3"/>
      <c r="AL1694" s="3"/>
      <c r="AM1694" s="3"/>
      <c r="AN1694" s="3"/>
    </row>
    <row r="1695" spans="3:40">
      <c r="C1695" s="3"/>
      <c r="D1695" s="3"/>
      <c r="E1695" s="3"/>
      <c r="S1695" s="3"/>
      <c r="T1695" s="3"/>
      <c r="AI1695" s="3"/>
      <c r="AJ1695" s="3"/>
      <c r="AK1695" s="3"/>
      <c r="AL1695" s="3"/>
      <c r="AM1695" s="3"/>
      <c r="AN1695" s="3"/>
    </row>
    <row r="1696" spans="3:40">
      <c r="C1696" s="3"/>
      <c r="D1696" s="3"/>
      <c r="E1696" s="3"/>
      <c r="S1696" s="3"/>
      <c r="T1696" s="3"/>
      <c r="AI1696" s="3"/>
      <c r="AJ1696" s="3"/>
      <c r="AK1696" s="3"/>
      <c r="AL1696" s="3"/>
      <c r="AM1696" s="3"/>
      <c r="AN1696" s="3"/>
    </row>
    <row r="1697" spans="3:40">
      <c r="C1697" s="3"/>
      <c r="D1697" s="3"/>
      <c r="E1697" s="3"/>
      <c r="S1697" s="3"/>
      <c r="T1697" s="3"/>
      <c r="AI1697" s="3"/>
      <c r="AJ1697" s="3"/>
      <c r="AK1697" s="3"/>
      <c r="AL1697" s="3"/>
      <c r="AM1697" s="3"/>
      <c r="AN1697" s="3"/>
    </row>
    <row r="1698" spans="3:40">
      <c r="C1698" s="3"/>
      <c r="D1698" s="3"/>
      <c r="E1698" s="3"/>
      <c r="S1698" s="3"/>
      <c r="T1698" s="3"/>
      <c r="AI1698" s="3"/>
      <c r="AJ1698" s="3"/>
      <c r="AK1698" s="3"/>
      <c r="AL1698" s="3"/>
      <c r="AM1698" s="3"/>
      <c r="AN1698" s="3"/>
    </row>
    <row r="1699" spans="3:40">
      <c r="C1699" s="3"/>
      <c r="D1699" s="3"/>
      <c r="E1699" s="3"/>
      <c r="S1699" s="3"/>
      <c r="T1699" s="3"/>
      <c r="AI1699" s="3"/>
      <c r="AJ1699" s="3"/>
      <c r="AK1699" s="3"/>
      <c r="AL1699" s="3"/>
      <c r="AM1699" s="3"/>
      <c r="AN1699" s="3"/>
    </row>
    <row r="1700" spans="3:40">
      <c r="C1700" s="3"/>
      <c r="D1700" s="3"/>
      <c r="E1700" s="3"/>
      <c r="S1700" s="3"/>
      <c r="T1700" s="3"/>
      <c r="AI1700" s="3"/>
      <c r="AJ1700" s="3"/>
      <c r="AK1700" s="3"/>
      <c r="AL1700" s="3"/>
      <c r="AM1700" s="3"/>
      <c r="AN1700" s="3"/>
    </row>
    <row r="1701" spans="3:40">
      <c r="C1701" s="3"/>
      <c r="D1701" s="3"/>
      <c r="E1701" s="3"/>
      <c r="S1701" s="3"/>
      <c r="T1701" s="3"/>
      <c r="AI1701" s="3"/>
      <c r="AJ1701" s="3"/>
      <c r="AK1701" s="3"/>
      <c r="AL1701" s="3"/>
      <c r="AM1701" s="3"/>
      <c r="AN1701" s="3"/>
    </row>
    <row r="1702" spans="3:40">
      <c r="C1702" s="3"/>
      <c r="D1702" s="3"/>
      <c r="E1702" s="3"/>
      <c r="S1702" s="3"/>
      <c r="T1702" s="3"/>
      <c r="AI1702" s="3"/>
      <c r="AJ1702" s="3"/>
      <c r="AK1702" s="3"/>
      <c r="AL1702" s="3"/>
      <c r="AM1702" s="3"/>
      <c r="AN1702" s="3"/>
    </row>
    <row r="1703" spans="3:40">
      <c r="C1703" s="3"/>
      <c r="D1703" s="3"/>
      <c r="E1703" s="3"/>
      <c r="S1703" s="3"/>
      <c r="T1703" s="3"/>
      <c r="AI1703" s="3"/>
      <c r="AJ1703" s="3"/>
      <c r="AK1703" s="3"/>
      <c r="AL1703" s="3"/>
      <c r="AM1703" s="3"/>
      <c r="AN1703" s="3"/>
    </row>
    <row r="1704" spans="3:40">
      <c r="C1704" s="3"/>
      <c r="D1704" s="3"/>
      <c r="E1704" s="3"/>
      <c r="S1704" s="3"/>
      <c r="T1704" s="3"/>
      <c r="AI1704" s="3"/>
      <c r="AJ1704" s="3"/>
      <c r="AK1704" s="3"/>
      <c r="AL1704" s="3"/>
      <c r="AM1704" s="3"/>
      <c r="AN1704" s="3"/>
    </row>
    <row r="1705" spans="3:40">
      <c r="C1705" s="3"/>
      <c r="D1705" s="3"/>
      <c r="E1705" s="3"/>
      <c r="S1705" s="3"/>
      <c r="T1705" s="3"/>
      <c r="AI1705" s="3"/>
      <c r="AJ1705" s="3"/>
      <c r="AK1705" s="3"/>
      <c r="AL1705" s="3"/>
      <c r="AM1705" s="3"/>
      <c r="AN1705" s="3"/>
    </row>
    <row r="1706" spans="3:40">
      <c r="C1706" s="3"/>
      <c r="D1706" s="3"/>
      <c r="E1706" s="3"/>
      <c r="S1706" s="3"/>
      <c r="T1706" s="3"/>
      <c r="AI1706" s="3"/>
      <c r="AJ1706" s="3"/>
      <c r="AK1706" s="3"/>
      <c r="AL1706" s="3"/>
      <c r="AM1706" s="3"/>
      <c r="AN1706" s="3"/>
    </row>
    <row r="1707" spans="3:40">
      <c r="C1707" s="3"/>
      <c r="D1707" s="3"/>
      <c r="E1707" s="3"/>
      <c r="S1707" s="3"/>
      <c r="T1707" s="3"/>
      <c r="AI1707" s="3"/>
      <c r="AJ1707" s="3"/>
      <c r="AK1707" s="3"/>
      <c r="AL1707" s="3"/>
      <c r="AM1707" s="3"/>
      <c r="AN1707" s="3"/>
    </row>
    <row r="1708" spans="3:40">
      <c r="C1708" s="3"/>
      <c r="D1708" s="3"/>
      <c r="E1708" s="3"/>
      <c r="S1708" s="3"/>
      <c r="T1708" s="3"/>
      <c r="AI1708" s="3"/>
      <c r="AJ1708" s="3"/>
      <c r="AK1708" s="3"/>
      <c r="AL1708" s="3"/>
      <c r="AM1708" s="3"/>
      <c r="AN1708" s="3"/>
    </row>
    <row r="1709" spans="3:40">
      <c r="C1709" s="3"/>
      <c r="D1709" s="3"/>
      <c r="E1709" s="3"/>
      <c r="S1709" s="3"/>
      <c r="T1709" s="3"/>
      <c r="AI1709" s="3"/>
      <c r="AJ1709" s="3"/>
      <c r="AK1709" s="3"/>
      <c r="AL1709" s="3"/>
      <c r="AM1709" s="3"/>
      <c r="AN1709" s="3"/>
    </row>
    <row r="1710" spans="3:40">
      <c r="C1710" s="3"/>
      <c r="D1710" s="3"/>
      <c r="E1710" s="3"/>
      <c r="S1710" s="3"/>
      <c r="T1710" s="3"/>
      <c r="AI1710" s="3"/>
      <c r="AJ1710" s="3"/>
      <c r="AK1710" s="3"/>
      <c r="AL1710" s="3"/>
      <c r="AM1710" s="3"/>
      <c r="AN1710" s="3"/>
    </row>
    <row r="1711" spans="3:40">
      <c r="C1711" s="3"/>
      <c r="D1711" s="3"/>
      <c r="E1711" s="3"/>
      <c r="S1711" s="3"/>
      <c r="T1711" s="3"/>
      <c r="AI1711" s="3"/>
      <c r="AJ1711" s="3"/>
      <c r="AK1711" s="3"/>
      <c r="AL1711" s="3"/>
      <c r="AM1711" s="3"/>
      <c r="AN1711" s="3"/>
    </row>
    <row r="1712" spans="3:40">
      <c r="C1712" s="3"/>
      <c r="D1712" s="3"/>
      <c r="E1712" s="3"/>
      <c r="S1712" s="3"/>
      <c r="T1712" s="3"/>
      <c r="AI1712" s="3"/>
      <c r="AJ1712" s="3"/>
      <c r="AK1712" s="3"/>
      <c r="AL1712" s="3"/>
      <c r="AM1712" s="3"/>
      <c r="AN1712" s="3"/>
    </row>
    <row r="1713" spans="3:40">
      <c r="C1713" s="3"/>
      <c r="D1713" s="3"/>
      <c r="E1713" s="3"/>
      <c r="S1713" s="3"/>
      <c r="T1713" s="3"/>
      <c r="AI1713" s="3"/>
      <c r="AJ1713" s="3"/>
      <c r="AK1713" s="3"/>
      <c r="AL1713" s="3"/>
      <c r="AM1713" s="3"/>
      <c r="AN1713" s="3"/>
    </row>
    <row r="1714" spans="3:40">
      <c r="C1714" s="3"/>
      <c r="D1714" s="3"/>
      <c r="E1714" s="3"/>
      <c r="S1714" s="3"/>
      <c r="T1714" s="3"/>
      <c r="AI1714" s="3"/>
      <c r="AJ1714" s="3"/>
      <c r="AK1714" s="3"/>
      <c r="AL1714" s="3"/>
      <c r="AM1714" s="3"/>
      <c r="AN1714" s="3"/>
    </row>
    <row r="1715" spans="3:40">
      <c r="C1715" s="3"/>
      <c r="D1715" s="3"/>
      <c r="E1715" s="3"/>
      <c r="S1715" s="3"/>
      <c r="T1715" s="3"/>
      <c r="AI1715" s="3"/>
      <c r="AJ1715" s="3"/>
      <c r="AK1715" s="3"/>
      <c r="AL1715" s="3"/>
      <c r="AM1715" s="3"/>
      <c r="AN1715" s="3"/>
    </row>
    <row r="1716" spans="3:40">
      <c r="C1716" s="3"/>
      <c r="D1716" s="3"/>
      <c r="E1716" s="3"/>
      <c r="S1716" s="3"/>
      <c r="T1716" s="3"/>
      <c r="AI1716" s="3"/>
      <c r="AJ1716" s="3"/>
      <c r="AK1716" s="3"/>
      <c r="AL1716" s="3"/>
      <c r="AM1716" s="3"/>
      <c r="AN1716" s="3"/>
    </row>
    <row r="1717" spans="3:40">
      <c r="C1717" s="3"/>
      <c r="D1717" s="3"/>
      <c r="E1717" s="3"/>
      <c r="S1717" s="3"/>
      <c r="T1717" s="3"/>
      <c r="AI1717" s="3"/>
      <c r="AJ1717" s="3"/>
      <c r="AK1717" s="3"/>
      <c r="AL1717" s="3"/>
      <c r="AM1717" s="3"/>
      <c r="AN1717" s="3"/>
    </row>
    <row r="1718" spans="3:40">
      <c r="C1718" s="3"/>
      <c r="D1718" s="3"/>
      <c r="E1718" s="3"/>
      <c r="S1718" s="3"/>
      <c r="T1718" s="3"/>
      <c r="AI1718" s="3"/>
      <c r="AJ1718" s="3"/>
      <c r="AK1718" s="3"/>
      <c r="AL1718" s="3"/>
      <c r="AM1718" s="3"/>
      <c r="AN1718" s="3"/>
    </row>
    <row r="1719" spans="3:40">
      <c r="C1719" s="3"/>
      <c r="D1719" s="3"/>
      <c r="E1719" s="3"/>
      <c r="S1719" s="3"/>
      <c r="T1719" s="3"/>
      <c r="AI1719" s="3"/>
      <c r="AJ1719" s="3"/>
      <c r="AK1719" s="3"/>
      <c r="AL1719" s="3"/>
      <c r="AM1719" s="3"/>
      <c r="AN1719" s="3"/>
    </row>
    <row r="1720" spans="3:40">
      <c r="C1720" s="3"/>
      <c r="D1720" s="3"/>
      <c r="E1720" s="3"/>
      <c r="S1720" s="3"/>
      <c r="T1720" s="3"/>
      <c r="AI1720" s="3"/>
      <c r="AJ1720" s="3"/>
      <c r="AK1720" s="3"/>
      <c r="AL1720" s="3"/>
      <c r="AM1720" s="3"/>
      <c r="AN1720" s="3"/>
    </row>
    <row r="1721" spans="3:40">
      <c r="C1721" s="3"/>
      <c r="D1721" s="3"/>
      <c r="E1721" s="3"/>
      <c r="S1721" s="3"/>
      <c r="T1721" s="3"/>
      <c r="AI1721" s="3"/>
      <c r="AJ1721" s="3"/>
      <c r="AK1721" s="3"/>
      <c r="AL1721" s="3"/>
      <c r="AM1721" s="3"/>
      <c r="AN1721" s="3"/>
    </row>
    <row r="1722" spans="3:40">
      <c r="C1722" s="3"/>
      <c r="D1722" s="3"/>
      <c r="E1722" s="3"/>
      <c r="S1722" s="3"/>
      <c r="T1722" s="3"/>
      <c r="AI1722" s="3"/>
      <c r="AJ1722" s="3"/>
      <c r="AK1722" s="3"/>
      <c r="AL1722" s="3"/>
      <c r="AM1722" s="3"/>
      <c r="AN1722" s="3"/>
    </row>
    <row r="1723" spans="3:40">
      <c r="C1723" s="3"/>
      <c r="D1723" s="3"/>
      <c r="E1723" s="3"/>
      <c r="S1723" s="3"/>
      <c r="T1723" s="3"/>
      <c r="AI1723" s="3"/>
      <c r="AJ1723" s="3"/>
      <c r="AK1723" s="3"/>
      <c r="AL1723" s="3"/>
      <c r="AM1723" s="3"/>
      <c r="AN1723" s="3"/>
    </row>
    <row r="1724" spans="3:40">
      <c r="C1724" s="3"/>
      <c r="D1724" s="3"/>
      <c r="E1724" s="3"/>
      <c r="S1724" s="3"/>
      <c r="T1724" s="3"/>
      <c r="AI1724" s="3"/>
      <c r="AJ1724" s="3"/>
      <c r="AK1724" s="3"/>
      <c r="AL1724" s="3"/>
      <c r="AM1724" s="3"/>
      <c r="AN1724" s="3"/>
    </row>
    <row r="1725" spans="3:40">
      <c r="C1725" s="3"/>
      <c r="D1725" s="3"/>
      <c r="E1725" s="3"/>
      <c r="S1725" s="3"/>
      <c r="T1725" s="3"/>
      <c r="AI1725" s="3"/>
      <c r="AJ1725" s="3"/>
      <c r="AK1725" s="3"/>
      <c r="AL1725" s="3"/>
      <c r="AM1725" s="3"/>
      <c r="AN1725" s="3"/>
    </row>
    <row r="1726" spans="3:40">
      <c r="C1726" s="3"/>
      <c r="D1726" s="3"/>
      <c r="E1726" s="3"/>
      <c r="S1726" s="3"/>
      <c r="T1726" s="3"/>
      <c r="AI1726" s="3"/>
      <c r="AJ1726" s="3"/>
      <c r="AK1726" s="3"/>
      <c r="AL1726" s="3"/>
      <c r="AM1726" s="3"/>
      <c r="AN1726" s="3"/>
    </row>
    <row r="1727" spans="3:40">
      <c r="C1727" s="3"/>
      <c r="D1727" s="3"/>
      <c r="E1727" s="3"/>
      <c r="S1727" s="3"/>
      <c r="T1727" s="3"/>
      <c r="AI1727" s="3"/>
      <c r="AJ1727" s="3"/>
      <c r="AK1727" s="3"/>
      <c r="AL1727" s="3"/>
      <c r="AM1727" s="3"/>
      <c r="AN1727" s="3"/>
    </row>
    <row r="1728" spans="3:40">
      <c r="C1728" s="3"/>
      <c r="D1728" s="3"/>
      <c r="E1728" s="3"/>
      <c r="S1728" s="3"/>
      <c r="T1728" s="3"/>
      <c r="AI1728" s="3"/>
      <c r="AJ1728" s="3"/>
      <c r="AK1728" s="3"/>
      <c r="AL1728" s="3"/>
      <c r="AM1728" s="3"/>
      <c r="AN1728" s="3"/>
    </row>
    <row r="1729" spans="3:40">
      <c r="C1729" s="3"/>
      <c r="D1729" s="3"/>
      <c r="E1729" s="3"/>
      <c r="S1729" s="3"/>
      <c r="T1729" s="3"/>
      <c r="AI1729" s="3"/>
      <c r="AJ1729" s="3"/>
      <c r="AK1729" s="3"/>
      <c r="AL1729" s="3"/>
      <c r="AM1729" s="3"/>
      <c r="AN1729" s="3"/>
    </row>
    <row r="1730" spans="3:40">
      <c r="C1730" s="3"/>
      <c r="D1730" s="3"/>
      <c r="E1730" s="3"/>
      <c r="S1730" s="3"/>
      <c r="T1730" s="3"/>
      <c r="AI1730" s="3"/>
      <c r="AJ1730" s="3"/>
      <c r="AK1730" s="3"/>
      <c r="AL1730" s="3"/>
      <c r="AM1730" s="3"/>
      <c r="AN1730" s="3"/>
    </row>
    <row r="1731" spans="3:40">
      <c r="C1731" s="3"/>
      <c r="D1731" s="3"/>
      <c r="E1731" s="3"/>
      <c r="S1731" s="3"/>
      <c r="T1731" s="3"/>
      <c r="AI1731" s="3"/>
      <c r="AJ1731" s="3"/>
      <c r="AK1731" s="3"/>
      <c r="AL1731" s="3"/>
      <c r="AM1731" s="3"/>
      <c r="AN1731" s="3"/>
    </row>
    <row r="1732" spans="3:40">
      <c r="C1732" s="3"/>
      <c r="D1732" s="3"/>
      <c r="E1732" s="3"/>
      <c r="S1732" s="3"/>
      <c r="T1732" s="3"/>
      <c r="AI1732" s="3"/>
      <c r="AJ1732" s="3"/>
      <c r="AK1732" s="3"/>
      <c r="AL1732" s="3"/>
      <c r="AM1732" s="3"/>
      <c r="AN1732" s="3"/>
    </row>
    <row r="1733" spans="3:40">
      <c r="C1733" s="3"/>
      <c r="D1733" s="3"/>
      <c r="E1733" s="3"/>
      <c r="S1733" s="3"/>
      <c r="T1733" s="3"/>
      <c r="AI1733" s="3"/>
      <c r="AJ1733" s="3"/>
      <c r="AK1733" s="3"/>
      <c r="AL1733" s="3"/>
      <c r="AM1733" s="3"/>
      <c r="AN1733" s="3"/>
    </row>
    <row r="1734" spans="3:40">
      <c r="C1734" s="3"/>
      <c r="D1734" s="3"/>
      <c r="E1734" s="3"/>
      <c r="S1734" s="3"/>
      <c r="T1734" s="3"/>
      <c r="AI1734" s="3"/>
      <c r="AJ1734" s="3"/>
      <c r="AK1734" s="3"/>
      <c r="AL1734" s="3"/>
      <c r="AM1734" s="3"/>
      <c r="AN1734" s="3"/>
    </row>
    <row r="1735" spans="3:40">
      <c r="C1735" s="3"/>
      <c r="D1735" s="3"/>
      <c r="E1735" s="3"/>
      <c r="S1735" s="3"/>
      <c r="T1735" s="3"/>
      <c r="AI1735" s="3"/>
      <c r="AJ1735" s="3"/>
      <c r="AK1735" s="3"/>
      <c r="AL1735" s="3"/>
      <c r="AM1735" s="3"/>
      <c r="AN1735" s="3"/>
    </row>
    <row r="1736" spans="3:40">
      <c r="C1736" s="3"/>
      <c r="D1736" s="3"/>
      <c r="E1736" s="3"/>
      <c r="S1736" s="3"/>
      <c r="T1736" s="3"/>
      <c r="AI1736" s="3"/>
      <c r="AJ1736" s="3"/>
      <c r="AK1736" s="3"/>
      <c r="AL1736" s="3"/>
      <c r="AM1736" s="3"/>
      <c r="AN1736" s="3"/>
    </row>
    <row r="1737" spans="3:40">
      <c r="C1737" s="3"/>
      <c r="D1737" s="3"/>
      <c r="E1737" s="3"/>
      <c r="S1737" s="3"/>
      <c r="T1737" s="3"/>
      <c r="AI1737" s="3"/>
      <c r="AJ1737" s="3"/>
      <c r="AK1737" s="3"/>
      <c r="AL1737" s="3"/>
      <c r="AM1737" s="3"/>
      <c r="AN1737" s="3"/>
    </row>
    <row r="1738" spans="3:40">
      <c r="C1738" s="3"/>
      <c r="D1738" s="3"/>
      <c r="E1738" s="3"/>
      <c r="S1738" s="3"/>
      <c r="T1738" s="3"/>
      <c r="AI1738" s="3"/>
      <c r="AJ1738" s="3"/>
      <c r="AK1738" s="3"/>
      <c r="AL1738" s="3"/>
      <c r="AM1738" s="3"/>
      <c r="AN1738" s="3"/>
    </row>
    <row r="1739" spans="3:40">
      <c r="C1739" s="3"/>
      <c r="D1739" s="3"/>
      <c r="E1739" s="3"/>
      <c r="S1739" s="3"/>
      <c r="T1739" s="3"/>
      <c r="AI1739" s="3"/>
      <c r="AJ1739" s="3"/>
      <c r="AK1739" s="3"/>
      <c r="AL1739" s="3"/>
      <c r="AM1739" s="3"/>
      <c r="AN1739" s="3"/>
    </row>
    <row r="1740" spans="3:40">
      <c r="C1740" s="3"/>
      <c r="D1740" s="3"/>
      <c r="E1740" s="3"/>
      <c r="S1740" s="3"/>
      <c r="T1740" s="3"/>
      <c r="AI1740" s="3"/>
      <c r="AJ1740" s="3"/>
      <c r="AK1740" s="3"/>
      <c r="AL1740" s="3"/>
      <c r="AM1740" s="3"/>
      <c r="AN1740" s="3"/>
    </row>
    <row r="1741" spans="3:40">
      <c r="C1741" s="3"/>
      <c r="D1741" s="3"/>
      <c r="E1741" s="3"/>
      <c r="S1741" s="3"/>
      <c r="T1741" s="3"/>
      <c r="AI1741" s="3"/>
      <c r="AJ1741" s="3"/>
      <c r="AK1741" s="3"/>
      <c r="AL1741" s="3"/>
      <c r="AM1741" s="3"/>
      <c r="AN1741" s="3"/>
    </row>
    <row r="1742" spans="3:40">
      <c r="C1742" s="3"/>
      <c r="D1742" s="3"/>
      <c r="E1742" s="3"/>
      <c r="S1742" s="3"/>
      <c r="T1742" s="3"/>
      <c r="AI1742" s="3"/>
      <c r="AJ1742" s="3"/>
      <c r="AK1742" s="3"/>
      <c r="AL1742" s="3"/>
      <c r="AM1742" s="3"/>
      <c r="AN1742" s="3"/>
    </row>
    <row r="1743" spans="3:40">
      <c r="C1743" s="3"/>
      <c r="D1743" s="3"/>
      <c r="E1743" s="3"/>
      <c r="S1743" s="3"/>
      <c r="T1743" s="3"/>
      <c r="AI1743" s="3"/>
      <c r="AJ1743" s="3"/>
      <c r="AK1743" s="3"/>
      <c r="AL1743" s="3"/>
      <c r="AM1743" s="3"/>
      <c r="AN1743" s="3"/>
    </row>
    <row r="1744" spans="3:40">
      <c r="C1744" s="3"/>
      <c r="D1744" s="3"/>
      <c r="E1744" s="3"/>
      <c r="S1744" s="3"/>
      <c r="T1744" s="3"/>
      <c r="AI1744" s="3"/>
      <c r="AJ1744" s="3"/>
      <c r="AK1744" s="3"/>
      <c r="AL1744" s="3"/>
      <c r="AM1744" s="3"/>
      <c r="AN1744" s="3"/>
    </row>
    <row r="1745" spans="3:40">
      <c r="C1745" s="3"/>
      <c r="D1745" s="3"/>
      <c r="E1745" s="3"/>
      <c r="S1745" s="3"/>
      <c r="T1745" s="3"/>
      <c r="AI1745" s="3"/>
      <c r="AJ1745" s="3"/>
      <c r="AK1745" s="3"/>
      <c r="AL1745" s="3"/>
      <c r="AM1745" s="3"/>
      <c r="AN1745" s="3"/>
    </row>
    <row r="1746" spans="3:40">
      <c r="C1746" s="3"/>
      <c r="D1746" s="3"/>
      <c r="E1746" s="3"/>
      <c r="S1746" s="3"/>
      <c r="T1746" s="3"/>
      <c r="AI1746" s="3"/>
      <c r="AJ1746" s="3"/>
      <c r="AK1746" s="3"/>
      <c r="AL1746" s="3"/>
      <c r="AM1746" s="3"/>
      <c r="AN1746" s="3"/>
    </row>
    <row r="1747" spans="3:40">
      <c r="C1747" s="3"/>
      <c r="D1747" s="3"/>
      <c r="E1747" s="3"/>
      <c r="S1747" s="3"/>
      <c r="T1747" s="3"/>
      <c r="AI1747" s="3"/>
      <c r="AJ1747" s="3"/>
      <c r="AK1747" s="3"/>
      <c r="AL1747" s="3"/>
      <c r="AM1747" s="3"/>
      <c r="AN1747" s="3"/>
    </row>
    <row r="1748" spans="3:40">
      <c r="C1748" s="3"/>
      <c r="D1748" s="3"/>
      <c r="E1748" s="3"/>
      <c r="S1748" s="3"/>
      <c r="T1748" s="3"/>
      <c r="AI1748" s="3"/>
      <c r="AJ1748" s="3"/>
      <c r="AK1748" s="3"/>
      <c r="AL1748" s="3"/>
      <c r="AM1748" s="3"/>
      <c r="AN1748" s="3"/>
    </row>
    <row r="1749" spans="3:40">
      <c r="C1749" s="3"/>
      <c r="D1749" s="3"/>
      <c r="E1749" s="3"/>
      <c r="S1749" s="3"/>
      <c r="T1749" s="3"/>
      <c r="AI1749" s="3"/>
      <c r="AJ1749" s="3"/>
      <c r="AK1749" s="3"/>
      <c r="AL1749" s="3"/>
      <c r="AM1749" s="3"/>
      <c r="AN1749" s="3"/>
    </row>
    <row r="1750" spans="3:40">
      <c r="C1750" s="3"/>
      <c r="D1750" s="3"/>
      <c r="E1750" s="3"/>
      <c r="S1750" s="3"/>
      <c r="T1750" s="3"/>
      <c r="AI1750" s="3"/>
      <c r="AJ1750" s="3"/>
      <c r="AK1750" s="3"/>
      <c r="AL1750" s="3"/>
      <c r="AM1750" s="3"/>
      <c r="AN1750" s="3"/>
    </row>
    <row r="1751" spans="3:40">
      <c r="C1751" s="3"/>
      <c r="D1751" s="3"/>
      <c r="E1751" s="3"/>
      <c r="S1751" s="3"/>
      <c r="T1751" s="3"/>
      <c r="AI1751" s="3"/>
      <c r="AJ1751" s="3"/>
      <c r="AK1751" s="3"/>
      <c r="AL1751" s="3"/>
      <c r="AM1751" s="3"/>
      <c r="AN1751" s="3"/>
    </row>
    <row r="1752" spans="3:40">
      <c r="C1752" s="3"/>
      <c r="D1752" s="3"/>
      <c r="E1752" s="3"/>
      <c r="S1752" s="3"/>
      <c r="T1752" s="3"/>
      <c r="AI1752" s="3"/>
      <c r="AJ1752" s="3"/>
      <c r="AK1752" s="3"/>
      <c r="AL1752" s="3"/>
      <c r="AM1752" s="3"/>
      <c r="AN1752" s="3"/>
    </row>
    <row r="1753" spans="3:40">
      <c r="C1753" s="3"/>
      <c r="D1753" s="3"/>
      <c r="E1753" s="3"/>
      <c r="S1753" s="3"/>
      <c r="T1753" s="3"/>
      <c r="AI1753" s="3"/>
      <c r="AJ1753" s="3"/>
      <c r="AK1753" s="3"/>
      <c r="AL1753" s="3"/>
      <c r="AM1753" s="3"/>
      <c r="AN1753" s="3"/>
    </row>
    <row r="1754" spans="3:40">
      <c r="C1754" s="3"/>
      <c r="D1754" s="3"/>
      <c r="E1754" s="3"/>
      <c r="S1754" s="3"/>
      <c r="T1754" s="3"/>
      <c r="AI1754" s="3"/>
      <c r="AJ1754" s="3"/>
      <c r="AK1754" s="3"/>
      <c r="AL1754" s="3"/>
      <c r="AM1754" s="3"/>
      <c r="AN1754" s="3"/>
    </row>
    <row r="1755" spans="3:40">
      <c r="C1755" s="3"/>
      <c r="D1755" s="3"/>
      <c r="E1755" s="3"/>
      <c r="S1755" s="3"/>
      <c r="T1755" s="3"/>
      <c r="AI1755" s="3"/>
      <c r="AJ1755" s="3"/>
      <c r="AK1755" s="3"/>
      <c r="AL1755" s="3"/>
      <c r="AM1755" s="3"/>
      <c r="AN1755" s="3"/>
    </row>
    <row r="1756" spans="3:40">
      <c r="C1756" s="3"/>
      <c r="D1756" s="3"/>
      <c r="E1756" s="3"/>
      <c r="S1756" s="3"/>
      <c r="T1756" s="3"/>
      <c r="AI1756" s="3"/>
      <c r="AJ1756" s="3"/>
      <c r="AK1756" s="3"/>
      <c r="AL1756" s="3"/>
      <c r="AM1756" s="3"/>
      <c r="AN1756" s="3"/>
    </row>
    <row r="1757" spans="3:40">
      <c r="C1757" s="3"/>
      <c r="D1757" s="3"/>
      <c r="E1757" s="3"/>
      <c r="S1757" s="3"/>
      <c r="T1757" s="3"/>
      <c r="AI1757" s="3"/>
      <c r="AJ1757" s="3"/>
      <c r="AK1757" s="3"/>
      <c r="AL1757" s="3"/>
      <c r="AM1757" s="3"/>
      <c r="AN1757" s="3"/>
    </row>
    <row r="1758" spans="3:40">
      <c r="C1758" s="3"/>
      <c r="D1758" s="3"/>
      <c r="E1758" s="3"/>
      <c r="S1758" s="3"/>
      <c r="T1758" s="3"/>
      <c r="AI1758" s="3"/>
      <c r="AJ1758" s="3"/>
      <c r="AK1758" s="3"/>
      <c r="AL1758" s="3"/>
      <c r="AM1758" s="3"/>
      <c r="AN1758" s="3"/>
    </row>
    <row r="1759" spans="3:40">
      <c r="C1759" s="3"/>
      <c r="D1759" s="3"/>
      <c r="E1759" s="3"/>
      <c r="S1759" s="3"/>
      <c r="T1759" s="3"/>
      <c r="AI1759" s="3"/>
      <c r="AJ1759" s="3"/>
      <c r="AK1759" s="3"/>
      <c r="AL1759" s="3"/>
      <c r="AM1759" s="3"/>
      <c r="AN1759" s="3"/>
    </row>
    <row r="1760" spans="3:40">
      <c r="C1760" s="3"/>
      <c r="D1760" s="3"/>
      <c r="E1760" s="3"/>
      <c r="S1760" s="3"/>
      <c r="T1760" s="3"/>
      <c r="AI1760" s="3"/>
      <c r="AJ1760" s="3"/>
      <c r="AK1760" s="3"/>
      <c r="AL1760" s="3"/>
      <c r="AM1760" s="3"/>
      <c r="AN1760" s="3"/>
    </row>
    <row r="1761" spans="3:40">
      <c r="C1761" s="3"/>
      <c r="D1761" s="3"/>
      <c r="E1761" s="3"/>
      <c r="S1761" s="3"/>
      <c r="T1761" s="3"/>
      <c r="AI1761" s="3"/>
      <c r="AJ1761" s="3"/>
      <c r="AK1761" s="3"/>
      <c r="AL1761" s="3"/>
      <c r="AM1761" s="3"/>
      <c r="AN1761" s="3"/>
    </row>
    <row r="1762" spans="3:40">
      <c r="C1762" s="3"/>
      <c r="D1762" s="3"/>
      <c r="E1762" s="3"/>
      <c r="S1762" s="3"/>
      <c r="T1762" s="3"/>
      <c r="AI1762" s="3"/>
      <c r="AJ1762" s="3"/>
      <c r="AK1762" s="3"/>
      <c r="AL1762" s="3"/>
      <c r="AM1762" s="3"/>
      <c r="AN1762" s="3"/>
    </row>
    <row r="1763" spans="3:40">
      <c r="C1763" s="3"/>
      <c r="D1763" s="3"/>
      <c r="E1763" s="3"/>
      <c r="S1763" s="3"/>
      <c r="T1763" s="3"/>
      <c r="AI1763" s="3"/>
      <c r="AJ1763" s="3"/>
      <c r="AK1763" s="3"/>
      <c r="AL1763" s="3"/>
      <c r="AM1763" s="3"/>
      <c r="AN1763" s="3"/>
    </row>
    <row r="1764" spans="3:40">
      <c r="C1764" s="3"/>
      <c r="D1764" s="3"/>
      <c r="E1764" s="3"/>
      <c r="S1764" s="3"/>
      <c r="T1764" s="3"/>
      <c r="AI1764" s="3"/>
      <c r="AJ1764" s="3"/>
      <c r="AK1764" s="3"/>
      <c r="AL1764" s="3"/>
      <c r="AM1764" s="3"/>
      <c r="AN1764" s="3"/>
    </row>
    <row r="1765" spans="3:40">
      <c r="C1765" s="3"/>
      <c r="D1765" s="3"/>
      <c r="E1765" s="3"/>
      <c r="S1765" s="3"/>
      <c r="T1765" s="3"/>
      <c r="AI1765" s="3"/>
      <c r="AJ1765" s="3"/>
      <c r="AK1765" s="3"/>
      <c r="AL1765" s="3"/>
      <c r="AM1765" s="3"/>
      <c r="AN1765" s="3"/>
    </row>
    <row r="1766" spans="3:40">
      <c r="C1766" s="3"/>
      <c r="D1766" s="3"/>
      <c r="E1766" s="3"/>
      <c r="S1766" s="3"/>
      <c r="T1766" s="3"/>
      <c r="AI1766" s="3"/>
      <c r="AJ1766" s="3"/>
      <c r="AK1766" s="3"/>
      <c r="AL1766" s="3"/>
      <c r="AM1766" s="3"/>
      <c r="AN1766" s="3"/>
    </row>
    <row r="1767" spans="3:40">
      <c r="C1767" s="3"/>
      <c r="D1767" s="3"/>
      <c r="E1767" s="3"/>
      <c r="S1767" s="3"/>
      <c r="T1767" s="3"/>
      <c r="AI1767" s="3"/>
      <c r="AJ1767" s="3"/>
      <c r="AK1767" s="3"/>
      <c r="AL1767" s="3"/>
      <c r="AM1767" s="3"/>
      <c r="AN1767" s="3"/>
    </row>
    <row r="1768" spans="3:40">
      <c r="C1768" s="3"/>
      <c r="D1768" s="3"/>
      <c r="E1768" s="3"/>
      <c r="S1768" s="3"/>
      <c r="T1768" s="3"/>
      <c r="AI1768" s="3"/>
      <c r="AJ1768" s="3"/>
      <c r="AK1768" s="3"/>
      <c r="AL1768" s="3"/>
      <c r="AM1768" s="3"/>
      <c r="AN1768" s="3"/>
    </row>
    <row r="1769" spans="3:40">
      <c r="C1769" s="3"/>
      <c r="D1769" s="3"/>
      <c r="E1769" s="3"/>
      <c r="S1769" s="3"/>
      <c r="T1769" s="3"/>
      <c r="AI1769" s="3"/>
      <c r="AJ1769" s="3"/>
      <c r="AK1769" s="3"/>
      <c r="AL1769" s="3"/>
      <c r="AM1769" s="3"/>
      <c r="AN1769" s="3"/>
    </row>
    <row r="1770" spans="3:40">
      <c r="C1770" s="3"/>
      <c r="D1770" s="3"/>
      <c r="E1770" s="3"/>
      <c r="S1770" s="3"/>
      <c r="T1770" s="3"/>
      <c r="AI1770" s="3"/>
      <c r="AJ1770" s="3"/>
      <c r="AK1770" s="3"/>
      <c r="AL1770" s="3"/>
      <c r="AM1770" s="3"/>
      <c r="AN1770" s="3"/>
    </row>
    <row r="1771" spans="3:40">
      <c r="C1771" s="3"/>
      <c r="D1771" s="3"/>
      <c r="E1771" s="3"/>
      <c r="S1771" s="3"/>
      <c r="T1771" s="3"/>
      <c r="AI1771" s="3"/>
      <c r="AJ1771" s="3"/>
      <c r="AK1771" s="3"/>
      <c r="AL1771" s="3"/>
      <c r="AM1771" s="3"/>
      <c r="AN1771" s="3"/>
    </row>
    <row r="1772" spans="3:40">
      <c r="C1772" s="3"/>
      <c r="D1772" s="3"/>
      <c r="E1772" s="3"/>
      <c r="S1772" s="3"/>
      <c r="T1772" s="3"/>
      <c r="AI1772" s="3"/>
      <c r="AJ1772" s="3"/>
      <c r="AK1772" s="3"/>
      <c r="AL1772" s="3"/>
      <c r="AM1772" s="3"/>
      <c r="AN1772" s="3"/>
    </row>
    <row r="1773" spans="3:40">
      <c r="C1773" s="3"/>
      <c r="D1773" s="3"/>
      <c r="E1773" s="3"/>
      <c r="S1773" s="3"/>
      <c r="T1773" s="3"/>
      <c r="AI1773" s="3"/>
      <c r="AJ1773" s="3"/>
      <c r="AK1773" s="3"/>
      <c r="AL1773" s="3"/>
      <c r="AM1773" s="3"/>
      <c r="AN1773" s="3"/>
    </row>
    <row r="1774" spans="3:40">
      <c r="C1774" s="3"/>
      <c r="D1774" s="3"/>
      <c r="E1774" s="3"/>
      <c r="S1774" s="3"/>
      <c r="T1774" s="3"/>
      <c r="AI1774" s="3"/>
      <c r="AJ1774" s="3"/>
      <c r="AK1774" s="3"/>
      <c r="AL1774" s="3"/>
      <c r="AM1774" s="3"/>
      <c r="AN1774" s="3"/>
    </row>
    <row r="1775" spans="3:40">
      <c r="C1775" s="3"/>
      <c r="D1775" s="3"/>
      <c r="E1775" s="3"/>
      <c r="S1775" s="3"/>
      <c r="T1775" s="3"/>
      <c r="AI1775" s="3"/>
      <c r="AJ1775" s="3"/>
      <c r="AK1775" s="3"/>
      <c r="AL1775" s="3"/>
      <c r="AM1775" s="3"/>
      <c r="AN1775" s="3"/>
    </row>
    <row r="1776" spans="3:40">
      <c r="C1776" s="3"/>
      <c r="D1776" s="3"/>
      <c r="E1776" s="3"/>
      <c r="S1776" s="3"/>
      <c r="T1776" s="3"/>
      <c r="AI1776" s="3"/>
      <c r="AJ1776" s="3"/>
      <c r="AK1776" s="3"/>
      <c r="AL1776" s="3"/>
      <c r="AM1776" s="3"/>
      <c r="AN1776" s="3"/>
    </row>
    <row r="1777" spans="3:40">
      <c r="C1777" s="3"/>
      <c r="D1777" s="3"/>
      <c r="E1777" s="3"/>
      <c r="S1777" s="3"/>
      <c r="T1777" s="3"/>
      <c r="AI1777" s="3"/>
      <c r="AJ1777" s="3"/>
      <c r="AK1777" s="3"/>
      <c r="AL1777" s="3"/>
      <c r="AM1777" s="3"/>
      <c r="AN1777" s="3"/>
    </row>
    <row r="1778" spans="3:40">
      <c r="C1778" s="3"/>
      <c r="D1778" s="3"/>
      <c r="E1778" s="3"/>
      <c r="S1778" s="3"/>
      <c r="T1778" s="3"/>
      <c r="AI1778" s="3"/>
      <c r="AJ1778" s="3"/>
      <c r="AK1778" s="3"/>
      <c r="AL1778" s="3"/>
      <c r="AM1778" s="3"/>
      <c r="AN1778" s="3"/>
    </row>
    <row r="1779" spans="3:40">
      <c r="C1779" s="3"/>
      <c r="D1779" s="3"/>
      <c r="E1779" s="3"/>
      <c r="S1779" s="3"/>
      <c r="T1779" s="3"/>
      <c r="AI1779" s="3"/>
      <c r="AJ1779" s="3"/>
      <c r="AK1779" s="3"/>
      <c r="AL1779" s="3"/>
      <c r="AM1779" s="3"/>
      <c r="AN1779" s="3"/>
    </row>
    <row r="1780" spans="3:40">
      <c r="C1780" s="3"/>
      <c r="D1780" s="3"/>
      <c r="E1780" s="3"/>
      <c r="S1780" s="3"/>
      <c r="T1780" s="3"/>
      <c r="AI1780" s="3"/>
      <c r="AJ1780" s="3"/>
      <c r="AK1780" s="3"/>
      <c r="AL1780" s="3"/>
      <c r="AM1780" s="3"/>
      <c r="AN1780" s="3"/>
    </row>
    <row r="1781" spans="3:40">
      <c r="C1781" s="3"/>
      <c r="D1781" s="3"/>
      <c r="E1781" s="3"/>
      <c r="S1781" s="3"/>
      <c r="T1781" s="3"/>
      <c r="AI1781" s="3"/>
      <c r="AJ1781" s="3"/>
      <c r="AK1781" s="3"/>
      <c r="AL1781" s="3"/>
      <c r="AM1781" s="3"/>
      <c r="AN1781" s="3"/>
    </row>
    <row r="1782" spans="3:40">
      <c r="C1782" s="3"/>
      <c r="D1782" s="3"/>
      <c r="E1782" s="3"/>
      <c r="S1782" s="3"/>
      <c r="T1782" s="3"/>
      <c r="AI1782" s="3"/>
      <c r="AJ1782" s="3"/>
      <c r="AK1782" s="3"/>
      <c r="AL1782" s="3"/>
      <c r="AM1782" s="3"/>
      <c r="AN1782" s="3"/>
    </row>
    <row r="1783" spans="3:40">
      <c r="C1783" s="3"/>
      <c r="D1783" s="3"/>
      <c r="E1783" s="3"/>
      <c r="S1783" s="3"/>
      <c r="T1783" s="3"/>
      <c r="AI1783" s="3"/>
      <c r="AJ1783" s="3"/>
      <c r="AK1783" s="3"/>
      <c r="AL1783" s="3"/>
      <c r="AM1783" s="3"/>
      <c r="AN1783" s="3"/>
    </row>
    <row r="1784" spans="3:40">
      <c r="C1784" s="3"/>
      <c r="D1784" s="3"/>
      <c r="E1784" s="3"/>
      <c r="S1784" s="3"/>
      <c r="T1784" s="3"/>
      <c r="AI1784" s="3"/>
      <c r="AJ1784" s="3"/>
      <c r="AK1784" s="3"/>
      <c r="AL1784" s="3"/>
      <c r="AM1784" s="3"/>
      <c r="AN1784" s="3"/>
    </row>
    <row r="1785" spans="3:40">
      <c r="C1785" s="3"/>
      <c r="D1785" s="3"/>
      <c r="E1785" s="3"/>
      <c r="S1785" s="3"/>
      <c r="T1785" s="3"/>
      <c r="AI1785" s="3"/>
      <c r="AJ1785" s="3"/>
      <c r="AK1785" s="3"/>
      <c r="AL1785" s="3"/>
      <c r="AM1785" s="3"/>
      <c r="AN1785" s="3"/>
    </row>
    <row r="1786" spans="3:40">
      <c r="C1786" s="3"/>
      <c r="D1786" s="3"/>
      <c r="E1786" s="3"/>
      <c r="S1786" s="3"/>
      <c r="T1786" s="3"/>
      <c r="AI1786" s="3"/>
      <c r="AJ1786" s="3"/>
      <c r="AK1786" s="3"/>
      <c r="AL1786" s="3"/>
      <c r="AM1786" s="3"/>
      <c r="AN1786" s="3"/>
    </row>
    <row r="1787" spans="3:40">
      <c r="C1787" s="3"/>
      <c r="D1787" s="3"/>
      <c r="E1787" s="3"/>
      <c r="S1787" s="3"/>
      <c r="T1787" s="3"/>
      <c r="AI1787" s="3"/>
      <c r="AJ1787" s="3"/>
      <c r="AK1787" s="3"/>
      <c r="AL1787" s="3"/>
      <c r="AM1787" s="3"/>
      <c r="AN1787" s="3"/>
    </row>
    <row r="1788" spans="3:40">
      <c r="C1788" s="3"/>
      <c r="D1788" s="3"/>
      <c r="E1788" s="3"/>
      <c r="S1788" s="3"/>
      <c r="T1788" s="3"/>
      <c r="AI1788" s="3"/>
      <c r="AJ1788" s="3"/>
      <c r="AK1788" s="3"/>
      <c r="AL1788" s="3"/>
      <c r="AM1788" s="3"/>
      <c r="AN1788" s="3"/>
    </row>
    <row r="1789" spans="3:40">
      <c r="C1789" s="3"/>
      <c r="D1789" s="3"/>
      <c r="E1789" s="3"/>
      <c r="S1789" s="3"/>
      <c r="T1789" s="3"/>
      <c r="AI1789" s="3"/>
      <c r="AJ1789" s="3"/>
      <c r="AK1789" s="3"/>
      <c r="AL1789" s="3"/>
      <c r="AM1789" s="3"/>
      <c r="AN1789" s="3"/>
    </row>
    <row r="1790" spans="3:40">
      <c r="C1790" s="3"/>
      <c r="D1790" s="3"/>
      <c r="E1790" s="3"/>
      <c r="S1790" s="3"/>
      <c r="T1790" s="3"/>
      <c r="AI1790" s="3"/>
      <c r="AJ1790" s="3"/>
      <c r="AK1790" s="3"/>
      <c r="AL1790" s="3"/>
      <c r="AM1790" s="3"/>
      <c r="AN1790" s="3"/>
    </row>
    <row r="1791" spans="3:40">
      <c r="C1791" s="3"/>
      <c r="D1791" s="3"/>
      <c r="E1791" s="3"/>
      <c r="S1791" s="3"/>
      <c r="T1791" s="3"/>
      <c r="AI1791" s="3"/>
      <c r="AJ1791" s="3"/>
      <c r="AK1791" s="3"/>
      <c r="AL1791" s="3"/>
      <c r="AM1791" s="3"/>
      <c r="AN1791" s="3"/>
    </row>
    <row r="1792" spans="3:40">
      <c r="C1792" s="3"/>
      <c r="D1792" s="3"/>
      <c r="E1792" s="3"/>
      <c r="S1792" s="3"/>
      <c r="T1792" s="3"/>
      <c r="AI1792" s="3"/>
      <c r="AJ1792" s="3"/>
      <c r="AK1792" s="3"/>
      <c r="AL1792" s="3"/>
      <c r="AM1792" s="3"/>
      <c r="AN1792" s="3"/>
    </row>
    <row r="1793" spans="3:40">
      <c r="C1793" s="3"/>
      <c r="D1793" s="3"/>
      <c r="E1793" s="3"/>
      <c r="S1793" s="3"/>
      <c r="T1793" s="3"/>
      <c r="AI1793" s="3"/>
      <c r="AJ1793" s="3"/>
      <c r="AK1793" s="3"/>
      <c r="AL1793" s="3"/>
      <c r="AM1793" s="3"/>
      <c r="AN1793" s="3"/>
    </row>
    <row r="1794" spans="3:40">
      <c r="C1794" s="3"/>
      <c r="D1794" s="3"/>
      <c r="E1794" s="3"/>
      <c r="S1794" s="3"/>
      <c r="T1794" s="3"/>
      <c r="AI1794" s="3"/>
      <c r="AJ1794" s="3"/>
      <c r="AK1794" s="3"/>
      <c r="AL1794" s="3"/>
      <c r="AM1794" s="3"/>
      <c r="AN1794" s="3"/>
    </row>
    <row r="1795" spans="3:40">
      <c r="C1795" s="3"/>
      <c r="D1795" s="3"/>
      <c r="E1795" s="3"/>
      <c r="S1795" s="3"/>
      <c r="T1795" s="3"/>
      <c r="AI1795" s="3"/>
      <c r="AJ1795" s="3"/>
      <c r="AK1795" s="3"/>
      <c r="AL1795" s="3"/>
      <c r="AM1795" s="3"/>
      <c r="AN1795" s="3"/>
    </row>
    <row r="1796" spans="3:40">
      <c r="C1796" s="3"/>
      <c r="D1796" s="3"/>
      <c r="E1796" s="3"/>
      <c r="S1796" s="3"/>
      <c r="T1796" s="3"/>
      <c r="AI1796" s="3"/>
      <c r="AJ1796" s="3"/>
      <c r="AK1796" s="3"/>
      <c r="AL1796" s="3"/>
      <c r="AM1796" s="3"/>
      <c r="AN1796" s="3"/>
    </row>
    <row r="1797" spans="3:40">
      <c r="C1797" s="3"/>
      <c r="D1797" s="3"/>
      <c r="E1797" s="3"/>
      <c r="S1797" s="3"/>
      <c r="T1797" s="3"/>
      <c r="AI1797" s="3"/>
      <c r="AJ1797" s="3"/>
      <c r="AK1797" s="3"/>
      <c r="AL1797" s="3"/>
      <c r="AM1797" s="3"/>
      <c r="AN1797" s="3"/>
    </row>
    <row r="1798" spans="3:40">
      <c r="C1798" s="3"/>
      <c r="D1798" s="3"/>
      <c r="E1798" s="3"/>
      <c r="S1798" s="3"/>
      <c r="T1798" s="3"/>
      <c r="AI1798" s="3"/>
      <c r="AJ1798" s="3"/>
      <c r="AK1798" s="3"/>
      <c r="AL1798" s="3"/>
      <c r="AM1798" s="3"/>
      <c r="AN1798" s="3"/>
    </row>
    <row r="1799" spans="3:40">
      <c r="C1799" s="3"/>
      <c r="D1799" s="3"/>
      <c r="E1799" s="3"/>
      <c r="S1799" s="3"/>
      <c r="T1799" s="3"/>
      <c r="AI1799" s="3"/>
      <c r="AJ1799" s="3"/>
      <c r="AK1799" s="3"/>
      <c r="AL1799" s="3"/>
      <c r="AM1799" s="3"/>
      <c r="AN1799" s="3"/>
    </row>
    <row r="1800" spans="3:40">
      <c r="C1800" s="3"/>
      <c r="D1800" s="3"/>
      <c r="E1800" s="3"/>
      <c r="S1800" s="3"/>
      <c r="T1800" s="3"/>
      <c r="AI1800" s="3"/>
      <c r="AJ1800" s="3"/>
      <c r="AK1800" s="3"/>
      <c r="AL1800" s="3"/>
      <c r="AM1800" s="3"/>
      <c r="AN1800" s="3"/>
    </row>
    <row r="1801" spans="3:40">
      <c r="C1801" s="3"/>
      <c r="D1801" s="3"/>
      <c r="E1801" s="3"/>
      <c r="S1801" s="3"/>
      <c r="T1801" s="3"/>
      <c r="AI1801" s="3"/>
      <c r="AJ1801" s="3"/>
      <c r="AK1801" s="3"/>
      <c r="AL1801" s="3"/>
      <c r="AM1801" s="3"/>
      <c r="AN1801" s="3"/>
    </row>
    <row r="1802" spans="3:40">
      <c r="C1802" s="3"/>
      <c r="D1802" s="3"/>
      <c r="E1802" s="3"/>
      <c r="S1802" s="3"/>
      <c r="T1802" s="3"/>
      <c r="AI1802" s="3"/>
      <c r="AJ1802" s="3"/>
      <c r="AK1802" s="3"/>
      <c r="AL1802" s="3"/>
      <c r="AM1802" s="3"/>
      <c r="AN1802" s="3"/>
    </row>
    <row r="1803" spans="3:40">
      <c r="C1803" s="3"/>
      <c r="D1803" s="3"/>
      <c r="E1803" s="3"/>
      <c r="S1803" s="3"/>
      <c r="T1803" s="3"/>
      <c r="AI1803" s="3"/>
      <c r="AJ1803" s="3"/>
      <c r="AK1803" s="3"/>
      <c r="AL1803" s="3"/>
      <c r="AM1803" s="3"/>
      <c r="AN1803" s="3"/>
    </row>
    <row r="1804" spans="3:40">
      <c r="C1804" s="3"/>
      <c r="D1804" s="3"/>
      <c r="E1804" s="3"/>
      <c r="S1804" s="3"/>
      <c r="T1804" s="3"/>
      <c r="AI1804" s="3"/>
      <c r="AJ1804" s="3"/>
      <c r="AK1804" s="3"/>
      <c r="AL1804" s="3"/>
      <c r="AM1804" s="3"/>
      <c r="AN1804" s="3"/>
    </row>
    <row r="1805" spans="3:40">
      <c r="C1805" s="3"/>
      <c r="D1805" s="3"/>
      <c r="E1805" s="3"/>
      <c r="S1805" s="3"/>
      <c r="T1805" s="3"/>
      <c r="AI1805" s="3"/>
      <c r="AJ1805" s="3"/>
      <c r="AK1805" s="3"/>
      <c r="AL1805" s="3"/>
      <c r="AM1805" s="3"/>
      <c r="AN1805" s="3"/>
    </row>
    <row r="1806" spans="3:40">
      <c r="C1806" s="3"/>
      <c r="D1806" s="3"/>
      <c r="E1806" s="3"/>
      <c r="S1806" s="3"/>
      <c r="T1806" s="3"/>
      <c r="AI1806" s="3"/>
      <c r="AJ1806" s="3"/>
      <c r="AK1806" s="3"/>
      <c r="AL1806" s="3"/>
      <c r="AM1806" s="3"/>
      <c r="AN1806" s="3"/>
    </row>
    <row r="1807" spans="3:40">
      <c r="C1807" s="3"/>
      <c r="D1807" s="3"/>
      <c r="E1807" s="3"/>
      <c r="S1807" s="3"/>
      <c r="T1807" s="3"/>
      <c r="AI1807" s="3"/>
      <c r="AJ1807" s="3"/>
      <c r="AK1807" s="3"/>
      <c r="AL1807" s="3"/>
      <c r="AM1807" s="3"/>
      <c r="AN1807" s="3"/>
    </row>
    <row r="1808" spans="3:40">
      <c r="C1808" s="3"/>
      <c r="D1808" s="3"/>
      <c r="E1808" s="3"/>
      <c r="S1808" s="3"/>
      <c r="T1808" s="3"/>
      <c r="AI1808" s="3"/>
      <c r="AJ1808" s="3"/>
      <c r="AK1808" s="3"/>
      <c r="AL1808" s="3"/>
      <c r="AM1808" s="3"/>
      <c r="AN1808" s="3"/>
    </row>
    <row r="1809" spans="3:40">
      <c r="C1809" s="3"/>
      <c r="D1809" s="3"/>
      <c r="E1809" s="3"/>
      <c r="S1809" s="3"/>
      <c r="T1809" s="3"/>
      <c r="AI1809" s="3"/>
      <c r="AJ1809" s="3"/>
      <c r="AK1809" s="3"/>
      <c r="AL1809" s="3"/>
      <c r="AM1809" s="3"/>
      <c r="AN1809" s="3"/>
    </row>
    <row r="1810" spans="3:40">
      <c r="C1810" s="3"/>
      <c r="D1810" s="3"/>
      <c r="E1810" s="3"/>
      <c r="S1810" s="3"/>
      <c r="T1810" s="3"/>
      <c r="AI1810" s="3"/>
      <c r="AJ1810" s="3"/>
      <c r="AK1810" s="3"/>
      <c r="AL1810" s="3"/>
      <c r="AM1810" s="3"/>
      <c r="AN1810" s="3"/>
    </row>
    <row r="1811" spans="3:40">
      <c r="C1811" s="3"/>
      <c r="D1811" s="3"/>
      <c r="E1811" s="3"/>
      <c r="S1811" s="3"/>
      <c r="T1811" s="3"/>
      <c r="AI1811" s="3"/>
      <c r="AJ1811" s="3"/>
      <c r="AK1811" s="3"/>
      <c r="AL1811" s="3"/>
      <c r="AM1811" s="3"/>
      <c r="AN1811" s="3"/>
    </row>
    <row r="1812" spans="3:40">
      <c r="C1812" s="3"/>
      <c r="D1812" s="3"/>
      <c r="E1812" s="3"/>
      <c r="S1812" s="3"/>
      <c r="T1812" s="3"/>
      <c r="AI1812" s="3"/>
      <c r="AJ1812" s="3"/>
      <c r="AK1812" s="3"/>
      <c r="AL1812" s="3"/>
      <c r="AM1812" s="3"/>
      <c r="AN1812" s="3"/>
    </row>
    <row r="1813" spans="3:40">
      <c r="C1813" s="3"/>
      <c r="D1813" s="3"/>
      <c r="E1813" s="3"/>
      <c r="S1813" s="3"/>
      <c r="T1813" s="3"/>
      <c r="AI1813" s="3"/>
      <c r="AJ1813" s="3"/>
      <c r="AK1813" s="3"/>
      <c r="AL1813" s="3"/>
      <c r="AM1813" s="3"/>
      <c r="AN1813" s="3"/>
    </row>
    <row r="1814" spans="3:40">
      <c r="C1814" s="3"/>
      <c r="D1814" s="3"/>
      <c r="E1814" s="3"/>
      <c r="S1814" s="3"/>
      <c r="T1814" s="3"/>
      <c r="AI1814" s="3"/>
      <c r="AJ1814" s="3"/>
      <c r="AK1814" s="3"/>
      <c r="AL1814" s="3"/>
      <c r="AM1814" s="3"/>
      <c r="AN1814" s="3"/>
    </row>
    <row r="1815" spans="3:40">
      <c r="C1815" s="3"/>
      <c r="D1815" s="3"/>
      <c r="E1815" s="3"/>
      <c r="S1815" s="3"/>
      <c r="T1815" s="3"/>
      <c r="AI1815" s="3"/>
      <c r="AJ1815" s="3"/>
      <c r="AK1815" s="3"/>
      <c r="AL1815" s="3"/>
      <c r="AM1815" s="3"/>
      <c r="AN1815" s="3"/>
    </row>
    <row r="1816" spans="3:40">
      <c r="C1816" s="3"/>
      <c r="D1816" s="3"/>
      <c r="E1816" s="3"/>
      <c r="S1816" s="3"/>
      <c r="T1816" s="3"/>
      <c r="AI1816" s="3"/>
      <c r="AJ1816" s="3"/>
      <c r="AK1816" s="3"/>
      <c r="AL1816" s="3"/>
      <c r="AM1816" s="3"/>
      <c r="AN1816" s="3"/>
    </row>
    <row r="1817" spans="3:40">
      <c r="C1817" s="3"/>
      <c r="D1817" s="3"/>
      <c r="E1817" s="3"/>
      <c r="S1817" s="3"/>
      <c r="T1817" s="3"/>
      <c r="AI1817" s="3"/>
      <c r="AJ1817" s="3"/>
      <c r="AK1817" s="3"/>
      <c r="AL1817" s="3"/>
      <c r="AM1817" s="3"/>
      <c r="AN1817" s="3"/>
    </row>
    <row r="1818" spans="3:40">
      <c r="C1818" s="3"/>
      <c r="D1818" s="3"/>
      <c r="E1818" s="3"/>
      <c r="S1818" s="3"/>
      <c r="T1818" s="3"/>
      <c r="AI1818" s="3"/>
      <c r="AJ1818" s="3"/>
      <c r="AK1818" s="3"/>
      <c r="AL1818" s="3"/>
      <c r="AM1818" s="3"/>
      <c r="AN1818" s="3"/>
    </row>
    <row r="1819" spans="3:40">
      <c r="C1819" s="3"/>
      <c r="D1819" s="3"/>
      <c r="E1819" s="3"/>
      <c r="S1819" s="3"/>
      <c r="T1819" s="3"/>
      <c r="AI1819" s="3"/>
      <c r="AJ1819" s="3"/>
      <c r="AK1819" s="3"/>
      <c r="AL1819" s="3"/>
      <c r="AM1819" s="3"/>
      <c r="AN1819" s="3"/>
    </row>
    <row r="1820" spans="3:40">
      <c r="C1820" s="3"/>
      <c r="D1820" s="3"/>
      <c r="E1820" s="3"/>
      <c r="S1820" s="3"/>
      <c r="T1820" s="3"/>
      <c r="AI1820" s="3"/>
      <c r="AJ1820" s="3"/>
      <c r="AK1820" s="3"/>
      <c r="AL1820" s="3"/>
      <c r="AM1820" s="3"/>
      <c r="AN1820" s="3"/>
    </row>
    <row r="1821" spans="3:40">
      <c r="C1821" s="3"/>
      <c r="D1821" s="3"/>
      <c r="E1821" s="3"/>
      <c r="S1821" s="3"/>
      <c r="T1821" s="3"/>
      <c r="AI1821" s="3"/>
      <c r="AJ1821" s="3"/>
      <c r="AK1821" s="3"/>
      <c r="AL1821" s="3"/>
      <c r="AM1821" s="3"/>
      <c r="AN1821" s="3"/>
    </row>
    <row r="1822" spans="3:40">
      <c r="C1822" s="3"/>
      <c r="D1822" s="3"/>
      <c r="E1822" s="3"/>
      <c r="S1822" s="3"/>
      <c r="T1822" s="3"/>
      <c r="AI1822" s="3"/>
      <c r="AJ1822" s="3"/>
      <c r="AK1822" s="3"/>
      <c r="AL1822" s="3"/>
      <c r="AM1822" s="3"/>
      <c r="AN1822" s="3"/>
    </row>
    <row r="1823" spans="3:40">
      <c r="C1823" s="3"/>
      <c r="D1823" s="3"/>
      <c r="E1823" s="3"/>
      <c r="S1823" s="3"/>
      <c r="T1823" s="3"/>
      <c r="AI1823" s="3"/>
      <c r="AJ1823" s="3"/>
      <c r="AK1823" s="3"/>
      <c r="AL1823" s="3"/>
      <c r="AM1823" s="3"/>
      <c r="AN1823" s="3"/>
    </row>
    <row r="1824" spans="3:40">
      <c r="C1824" s="3"/>
      <c r="D1824" s="3"/>
      <c r="E1824" s="3"/>
      <c r="S1824" s="3"/>
      <c r="T1824" s="3"/>
      <c r="AI1824" s="3"/>
      <c r="AJ1824" s="3"/>
      <c r="AK1824" s="3"/>
      <c r="AL1824" s="3"/>
      <c r="AM1824" s="3"/>
      <c r="AN1824" s="3"/>
    </row>
    <row r="1825" spans="3:40">
      <c r="C1825" s="3"/>
      <c r="D1825" s="3"/>
      <c r="E1825" s="3"/>
      <c r="S1825" s="3"/>
      <c r="T1825" s="3"/>
      <c r="AI1825" s="3"/>
      <c r="AJ1825" s="3"/>
      <c r="AK1825" s="3"/>
      <c r="AL1825" s="3"/>
      <c r="AM1825" s="3"/>
      <c r="AN1825" s="3"/>
    </row>
    <row r="1826" spans="3:40">
      <c r="C1826" s="3"/>
      <c r="D1826" s="3"/>
      <c r="E1826" s="3"/>
      <c r="S1826" s="3"/>
      <c r="T1826" s="3"/>
      <c r="AI1826" s="3"/>
      <c r="AJ1826" s="3"/>
      <c r="AK1826" s="3"/>
      <c r="AL1826" s="3"/>
      <c r="AM1826" s="3"/>
      <c r="AN1826" s="3"/>
    </row>
    <row r="1827" spans="3:40">
      <c r="C1827" s="3"/>
      <c r="D1827" s="3"/>
      <c r="E1827" s="3"/>
      <c r="S1827" s="3"/>
      <c r="T1827" s="3"/>
      <c r="AI1827" s="3"/>
      <c r="AJ1827" s="3"/>
      <c r="AK1827" s="3"/>
      <c r="AL1827" s="3"/>
      <c r="AM1827" s="3"/>
      <c r="AN1827" s="3"/>
    </row>
    <row r="1828" spans="3:40">
      <c r="C1828" s="3"/>
      <c r="D1828" s="3"/>
      <c r="E1828" s="3"/>
      <c r="S1828" s="3"/>
      <c r="T1828" s="3"/>
      <c r="AI1828" s="3"/>
      <c r="AJ1828" s="3"/>
      <c r="AK1828" s="3"/>
      <c r="AL1828" s="3"/>
      <c r="AM1828" s="3"/>
      <c r="AN1828" s="3"/>
    </row>
    <row r="1829" spans="3:40">
      <c r="C1829" s="3"/>
      <c r="D1829" s="3"/>
      <c r="E1829" s="3"/>
      <c r="S1829" s="3"/>
      <c r="T1829" s="3"/>
      <c r="AI1829" s="3"/>
      <c r="AJ1829" s="3"/>
      <c r="AK1829" s="3"/>
      <c r="AL1829" s="3"/>
      <c r="AM1829" s="3"/>
      <c r="AN1829" s="3"/>
    </row>
    <row r="1830" spans="3:40">
      <c r="C1830" s="3"/>
      <c r="D1830" s="3"/>
      <c r="E1830" s="3"/>
      <c r="S1830" s="3"/>
      <c r="T1830" s="3"/>
      <c r="AI1830" s="3"/>
      <c r="AJ1830" s="3"/>
      <c r="AK1830" s="3"/>
      <c r="AL1830" s="3"/>
      <c r="AM1830" s="3"/>
      <c r="AN1830" s="3"/>
    </row>
    <row r="1831" spans="3:40">
      <c r="C1831" s="3"/>
      <c r="D1831" s="3"/>
      <c r="E1831" s="3"/>
      <c r="S1831" s="3"/>
      <c r="T1831" s="3"/>
      <c r="AI1831" s="3"/>
      <c r="AJ1831" s="3"/>
      <c r="AK1831" s="3"/>
      <c r="AL1831" s="3"/>
      <c r="AM1831" s="3"/>
      <c r="AN1831" s="3"/>
    </row>
    <row r="1832" spans="3:40">
      <c r="C1832" s="3"/>
      <c r="D1832" s="3"/>
      <c r="E1832" s="3"/>
      <c r="S1832" s="3"/>
      <c r="T1832" s="3"/>
      <c r="AI1832" s="3"/>
      <c r="AJ1832" s="3"/>
      <c r="AK1832" s="3"/>
      <c r="AL1832" s="3"/>
      <c r="AM1832" s="3"/>
      <c r="AN1832" s="3"/>
    </row>
    <row r="1833" spans="3:40">
      <c r="C1833" s="3"/>
      <c r="D1833" s="3"/>
      <c r="E1833" s="3"/>
      <c r="S1833" s="3"/>
      <c r="T1833" s="3"/>
      <c r="AI1833" s="3"/>
      <c r="AJ1833" s="3"/>
      <c r="AK1833" s="3"/>
      <c r="AL1833" s="3"/>
      <c r="AM1833" s="3"/>
      <c r="AN1833" s="3"/>
    </row>
    <row r="1834" spans="3:40">
      <c r="C1834" s="3"/>
      <c r="D1834" s="3"/>
      <c r="E1834" s="3"/>
      <c r="S1834" s="3"/>
      <c r="T1834" s="3"/>
      <c r="AI1834" s="3"/>
      <c r="AJ1834" s="3"/>
      <c r="AK1834" s="3"/>
      <c r="AL1834" s="3"/>
      <c r="AM1834" s="3"/>
      <c r="AN1834" s="3"/>
    </row>
    <row r="1835" spans="3:40">
      <c r="C1835" s="3"/>
      <c r="D1835" s="3"/>
      <c r="E1835" s="3"/>
      <c r="S1835" s="3"/>
      <c r="T1835" s="3"/>
      <c r="AI1835" s="3"/>
      <c r="AJ1835" s="3"/>
      <c r="AK1835" s="3"/>
      <c r="AL1835" s="3"/>
      <c r="AM1835" s="3"/>
      <c r="AN1835" s="3"/>
    </row>
    <row r="1836" spans="3:40">
      <c r="C1836" s="3"/>
      <c r="D1836" s="3"/>
      <c r="E1836" s="3"/>
      <c r="S1836" s="3"/>
      <c r="T1836" s="3"/>
      <c r="AI1836" s="3"/>
      <c r="AJ1836" s="3"/>
      <c r="AK1836" s="3"/>
      <c r="AL1836" s="3"/>
      <c r="AM1836" s="3"/>
      <c r="AN1836" s="3"/>
    </row>
    <row r="1837" spans="3:40">
      <c r="C1837" s="3"/>
      <c r="D1837" s="3"/>
      <c r="E1837" s="3"/>
      <c r="S1837" s="3"/>
      <c r="T1837" s="3"/>
      <c r="AI1837" s="3"/>
      <c r="AJ1837" s="3"/>
      <c r="AK1837" s="3"/>
      <c r="AL1837" s="3"/>
      <c r="AM1837" s="3"/>
      <c r="AN1837" s="3"/>
    </row>
    <row r="1838" spans="3:40">
      <c r="C1838" s="3"/>
      <c r="D1838" s="3"/>
      <c r="E1838" s="3"/>
      <c r="S1838" s="3"/>
      <c r="T1838" s="3"/>
      <c r="AI1838" s="3"/>
      <c r="AJ1838" s="3"/>
      <c r="AK1838" s="3"/>
      <c r="AL1838" s="3"/>
      <c r="AM1838" s="3"/>
      <c r="AN1838" s="3"/>
    </row>
    <row r="1839" spans="3:40">
      <c r="C1839" s="3"/>
      <c r="D1839" s="3"/>
      <c r="E1839" s="3"/>
      <c r="S1839" s="3"/>
      <c r="T1839" s="3"/>
      <c r="AI1839" s="3"/>
      <c r="AJ1839" s="3"/>
      <c r="AK1839" s="3"/>
      <c r="AL1839" s="3"/>
      <c r="AM1839" s="3"/>
      <c r="AN1839" s="3"/>
    </row>
    <row r="1840" spans="3:40">
      <c r="C1840" s="3"/>
      <c r="D1840" s="3"/>
      <c r="E1840" s="3"/>
      <c r="S1840" s="3"/>
      <c r="T1840" s="3"/>
      <c r="AI1840" s="3"/>
      <c r="AJ1840" s="3"/>
      <c r="AK1840" s="3"/>
      <c r="AL1840" s="3"/>
      <c r="AM1840" s="3"/>
      <c r="AN1840" s="3"/>
    </row>
    <row r="1841" spans="3:40">
      <c r="C1841" s="3"/>
      <c r="D1841" s="3"/>
      <c r="E1841" s="3"/>
      <c r="S1841" s="3"/>
      <c r="T1841" s="3"/>
      <c r="AI1841" s="3"/>
      <c r="AJ1841" s="3"/>
      <c r="AK1841" s="3"/>
      <c r="AL1841" s="3"/>
      <c r="AM1841" s="3"/>
      <c r="AN1841" s="3"/>
    </row>
    <row r="1842" spans="3:40">
      <c r="C1842" s="3"/>
      <c r="D1842" s="3"/>
      <c r="E1842" s="3"/>
      <c r="S1842" s="3"/>
      <c r="T1842" s="3"/>
      <c r="AI1842" s="3"/>
      <c r="AJ1842" s="3"/>
      <c r="AK1842" s="3"/>
      <c r="AL1842" s="3"/>
      <c r="AM1842" s="3"/>
      <c r="AN1842" s="3"/>
    </row>
    <row r="1843" spans="3:40">
      <c r="C1843" s="3"/>
      <c r="D1843" s="3"/>
      <c r="E1843" s="3"/>
      <c r="S1843" s="3"/>
      <c r="T1843" s="3"/>
      <c r="AI1843" s="3"/>
      <c r="AJ1843" s="3"/>
      <c r="AK1843" s="3"/>
      <c r="AL1843" s="3"/>
      <c r="AM1843" s="3"/>
      <c r="AN1843" s="3"/>
    </row>
    <row r="1844" spans="3:40">
      <c r="C1844" s="3"/>
      <c r="D1844" s="3"/>
      <c r="E1844" s="3"/>
      <c r="S1844" s="3"/>
      <c r="T1844" s="3"/>
      <c r="AI1844" s="3"/>
      <c r="AJ1844" s="3"/>
      <c r="AK1844" s="3"/>
      <c r="AL1844" s="3"/>
      <c r="AM1844" s="3"/>
      <c r="AN1844" s="3"/>
    </row>
    <row r="1845" spans="3:40">
      <c r="C1845" s="3"/>
      <c r="D1845" s="3"/>
      <c r="E1845" s="3"/>
      <c r="S1845" s="3"/>
      <c r="T1845" s="3"/>
      <c r="AI1845" s="3"/>
      <c r="AJ1845" s="3"/>
      <c r="AK1845" s="3"/>
      <c r="AL1845" s="3"/>
      <c r="AM1845" s="3"/>
      <c r="AN1845" s="3"/>
    </row>
    <row r="1846" spans="3:40">
      <c r="C1846" s="3"/>
      <c r="D1846" s="3"/>
      <c r="E1846" s="3"/>
      <c r="S1846" s="3"/>
      <c r="T1846" s="3"/>
      <c r="AI1846" s="3"/>
      <c r="AJ1846" s="3"/>
      <c r="AK1846" s="3"/>
      <c r="AL1846" s="3"/>
      <c r="AM1846" s="3"/>
      <c r="AN1846" s="3"/>
    </row>
    <row r="1847" spans="3:40">
      <c r="C1847" s="3"/>
      <c r="D1847" s="3"/>
      <c r="E1847" s="3"/>
      <c r="S1847" s="3"/>
      <c r="T1847" s="3"/>
      <c r="AI1847" s="3"/>
      <c r="AJ1847" s="3"/>
      <c r="AK1847" s="3"/>
      <c r="AL1847" s="3"/>
      <c r="AM1847" s="3"/>
      <c r="AN1847" s="3"/>
    </row>
    <row r="1848" spans="3:40">
      <c r="C1848" s="3"/>
      <c r="D1848" s="3"/>
      <c r="E1848" s="3"/>
      <c r="S1848" s="3"/>
      <c r="T1848" s="3"/>
      <c r="AI1848" s="3"/>
      <c r="AJ1848" s="3"/>
      <c r="AK1848" s="3"/>
      <c r="AL1848" s="3"/>
      <c r="AM1848" s="3"/>
      <c r="AN1848" s="3"/>
    </row>
    <row r="1849" spans="3:40">
      <c r="C1849" s="3"/>
      <c r="D1849" s="3"/>
      <c r="E1849" s="3"/>
      <c r="S1849" s="3"/>
      <c r="T1849" s="3"/>
      <c r="AI1849" s="3"/>
      <c r="AJ1849" s="3"/>
      <c r="AK1849" s="3"/>
      <c r="AL1849" s="3"/>
      <c r="AM1849" s="3"/>
      <c r="AN1849" s="3"/>
    </row>
    <row r="1850" spans="3:40">
      <c r="C1850" s="3"/>
      <c r="D1850" s="3"/>
      <c r="E1850" s="3"/>
      <c r="S1850" s="3"/>
      <c r="T1850" s="3"/>
      <c r="AI1850" s="3"/>
      <c r="AJ1850" s="3"/>
      <c r="AK1850" s="3"/>
      <c r="AL1850" s="3"/>
      <c r="AM1850" s="3"/>
      <c r="AN1850" s="3"/>
    </row>
    <row r="1851" spans="3:40">
      <c r="C1851" s="3"/>
      <c r="D1851" s="3"/>
      <c r="E1851" s="3"/>
      <c r="S1851" s="3"/>
      <c r="T1851" s="3"/>
      <c r="AI1851" s="3"/>
      <c r="AJ1851" s="3"/>
      <c r="AK1851" s="3"/>
      <c r="AL1851" s="3"/>
      <c r="AM1851" s="3"/>
      <c r="AN1851" s="3"/>
    </row>
    <row r="1852" spans="3:40">
      <c r="C1852" s="3"/>
      <c r="D1852" s="3"/>
      <c r="E1852" s="3"/>
      <c r="S1852" s="3"/>
      <c r="T1852" s="3"/>
      <c r="AI1852" s="3"/>
      <c r="AJ1852" s="3"/>
      <c r="AK1852" s="3"/>
      <c r="AL1852" s="3"/>
      <c r="AM1852" s="3"/>
      <c r="AN1852" s="3"/>
    </row>
    <row r="1853" spans="3:40">
      <c r="C1853" s="3"/>
      <c r="D1853" s="3"/>
      <c r="E1853" s="3"/>
      <c r="S1853" s="3"/>
      <c r="T1853" s="3"/>
      <c r="AI1853" s="3"/>
      <c r="AJ1853" s="3"/>
      <c r="AK1853" s="3"/>
      <c r="AL1853" s="3"/>
      <c r="AM1853" s="3"/>
      <c r="AN1853" s="3"/>
    </row>
    <row r="1854" spans="3:40">
      <c r="C1854" s="3"/>
      <c r="D1854" s="3"/>
      <c r="E1854" s="3"/>
      <c r="S1854" s="3"/>
      <c r="T1854" s="3"/>
      <c r="AI1854" s="3"/>
      <c r="AJ1854" s="3"/>
      <c r="AK1854" s="3"/>
      <c r="AL1854" s="3"/>
      <c r="AM1854" s="3"/>
      <c r="AN1854" s="3"/>
    </row>
    <row r="1855" spans="3:40">
      <c r="C1855" s="3"/>
      <c r="D1855" s="3"/>
      <c r="E1855" s="3"/>
      <c r="S1855" s="3"/>
      <c r="T1855" s="3"/>
      <c r="AI1855" s="3"/>
      <c r="AJ1855" s="3"/>
      <c r="AK1855" s="3"/>
      <c r="AL1855" s="3"/>
      <c r="AM1855" s="3"/>
      <c r="AN1855" s="3"/>
    </row>
    <row r="1856" spans="3:40">
      <c r="C1856" s="3"/>
      <c r="D1856" s="3"/>
      <c r="E1856" s="3"/>
      <c r="S1856" s="3"/>
      <c r="T1856" s="3"/>
      <c r="AI1856" s="3"/>
      <c r="AJ1856" s="3"/>
      <c r="AK1856" s="3"/>
      <c r="AL1856" s="3"/>
      <c r="AM1856" s="3"/>
      <c r="AN1856" s="3"/>
    </row>
    <row r="1857" spans="3:40">
      <c r="C1857" s="3"/>
      <c r="D1857" s="3"/>
      <c r="E1857" s="3"/>
      <c r="S1857" s="3"/>
      <c r="T1857" s="3"/>
      <c r="AI1857" s="3"/>
      <c r="AJ1857" s="3"/>
      <c r="AK1857" s="3"/>
      <c r="AL1857" s="3"/>
      <c r="AM1857" s="3"/>
      <c r="AN1857" s="3"/>
    </row>
    <row r="1858" spans="3:40">
      <c r="C1858" s="3"/>
      <c r="D1858" s="3"/>
      <c r="E1858" s="3"/>
      <c r="S1858" s="3"/>
      <c r="T1858" s="3"/>
      <c r="AI1858" s="3"/>
      <c r="AJ1858" s="3"/>
      <c r="AK1858" s="3"/>
      <c r="AL1858" s="3"/>
      <c r="AM1858" s="3"/>
      <c r="AN1858" s="3"/>
    </row>
    <row r="1859" spans="3:40">
      <c r="C1859" s="3"/>
      <c r="D1859" s="3"/>
      <c r="E1859" s="3"/>
      <c r="S1859" s="3"/>
      <c r="T1859" s="3"/>
      <c r="AI1859" s="3"/>
      <c r="AJ1859" s="3"/>
      <c r="AK1859" s="3"/>
      <c r="AL1859" s="3"/>
      <c r="AM1859" s="3"/>
      <c r="AN1859" s="3"/>
    </row>
    <row r="1860" spans="3:40">
      <c r="C1860" s="3"/>
      <c r="D1860" s="3"/>
      <c r="E1860" s="3"/>
      <c r="S1860" s="3"/>
      <c r="T1860" s="3"/>
      <c r="AI1860" s="3"/>
      <c r="AJ1860" s="3"/>
      <c r="AK1860" s="3"/>
      <c r="AL1860" s="3"/>
      <c r="AM1860" s="3"/>
      <c r="AN1860" s="3"/>
    </row>
    <row r="1861" spans="3:40">
      <c r="C1861" s="3"/>
      <c r="D1861" s="3"/>
      <c r="E1861" s="3"/>
      <c r="S1861" s="3"/>
      <c r="T1861" s="3"/>
      <c r="AI1861" s="3"/>
      <c r="AJ1861" s="3"/>
      <c r="AK1861" s="3"/>
      <c r="AL1861" s="3"/>
      <c r="AM1861" s="3"/>
      <c r="AN1861" s="3"/>
    </row>
    <row r="1862" spans="3:40">
      <c r="C1862" s="3"/>
      <c r="D1862" s="3"/>
      <c r="E1862" s="3"/>
      <c r="S1862" s="3"/>
      <c r="T1862" s="3"/>
      <c r="AI1862" s="3"/>
      <c r="AJ1862" s="3"/>
      <c r="AK1862" s="3"/>
      <c r="AL1862" s="3"/>
      <c r="AM1862" s="3"/>
      <c r="AN1862" s="3"/>
    </row>
    <row r="1863" spans="3:40">
      <c r="C1863" s="3"/>
      <c r="D1863" s="3"/>
      <c r="E1863" s="3"/>
      <c r="S1863" s="3"/>
      <c r="T1863" s="3"/>
      <c r="AI1863" s="3"/>
      <c r="AJ1863" s="3"/>
      <c r="AK1863" s="3"/>
      <c r="AL1863" s="3"/>
      <c r="AM1863" s="3"/>
      <c r="AN1863" s="3"/>
    </row>
    <row r="1864" spans="3:40">
      <c r="C1864" s="3"/>
      <c r="D1864" s="3"/>
      <c r="E1864" s="3"/>
      <c r="S1864" s="3"/>
      <c r="T1864" s="3"/>
      <c r="AI1864" s="3"/>
      <c r="AJ1864" s="3"/>
      <c r="AK1864" s="3"/>
      <c r="AL1864" s="3"/>
      <c r="AM1864" s="3"/>
      <c r="AN1864" s="3"/>
    </row>
    <row r="1865" spans="3:40">
      <c r="C1865" s="3"/>
      <c r="D1865" s="3"/>
      <c r="E1865" s="3"/>
      <c r="S1865" s="3"/>
      <c r="T1865" s="3"/>
      <c r="AI1865" s="3"/>
      <c r="AJ1865" s="3"/>
      <c r="AK1865" s="3"/>
      <c r="AL1865" s="3"/>
      <c r="AM1865" s="3"/>
      <c r="AN1865" s="3"/>
    </row>
    <row r="1866" spans="3:40">
      <c r="C1866" s="3"/>
      <c r="D1866" s="3"/>
      <c r="E1866" s="3"/>
      <c r="S1866" s="3"/>
      <c r="T1866" s="3"/>
      <c r="AI1866" s="3"/>
      <c r="AJ1866" s="3"/>
      <c r="AK1866" s="3"/>
      <c r="AL1866" s="3"/>
      <c r="AM1866" s="3"/>
      <c r="AN1866" s="3"/>
    </row>
    <row r="1867" spans="3:40">
      <c r="C1867" s="3"/>
      <c r="D1867" s="3"/>
      <c r="E1867" s="3"/>
      <c r="S1867" s="3"/>
      <c r="T1867" s="3"/>
      <c r="AI1867" s="3"/>
      <c r="AJ1867" s="3"/>
      <c r="AK1867" s="3"/>
      <c r="AL1867" s="3"/>
      <c r="AM1867" s="3"/>
      <c r="AN1867" s="3"/>
    </row>
    <row r="1868" spans="3:40">
      <c r="C1868" s="3"/>
      <c r="D1868" s="3"/>
      <c r="E1868" s="3"/>
      <c r="S1868" s="3"/>
      <c r="T1868" s="3"/>
      <c r="AI1868" s="3"/>
      <c r="AJ1868" s="3"/>
      <c r="AK1868" s="3"/>
      <c r="AL1868" s="3"/>
      <c r="AM1868" s="3"/>
      <c r="AN1868" s="3"/>
    </row>
    <row r="1869" spans="3:40">
      <c r="C1869" s="3"/>
      <c r="D1869" s="3"/>
      <c r="E1869" s="3"/>
      <c r="S1869" s="3"/>
      <c r="T1869" s="3"/>
      <c r="AI1869" s="3"/>
      <c r="AJ1869" s="3"/>
      <c r="AK1869" s="3"/>
      <c r="AL1869" s="3"/>
      <c r="AM1869" s="3"/>
      <c r="AN1869" s="3"/>
    </row>
    <row r="1870" spans="3:40">
      <c r="C1870" s="3"/>
      <c r="D1870" s="3"/>
      <c r="E1870" s="3"/>
      <c r="S1870" s="3"/>
      <c r="T1870" s="3"/>
      <c r="AI1870" s="3"/>
      <c r="AJ1870" s="3"/>
      <c r="AK1870" s="3"/>
      <c r="AL1870" s="3"/>
      <c r="AM1870" s="3"/>
      <c r="AN1870" s="3"/>
    </row>
    <row r="1871" spans="3:40">
      <c r="C1871" s="3"/>
      <c r="D1871" s="3"/>
      <c r="E1871" s="3"/>
      <c r="S1871" s="3"/>
      <c r="T1871" s="3"/>
      <c r="AI1871" s="3"/>
      <c r="AJ1871" s="3"/>
      <c r="AK1871" s="3"/>
      <c r="AL1871" s="3"/>
      <c r="AM1871" s="3"/>
      <c r="AN1871" s="3"/>
    </row>
    <row r="1872" spans="3:40">
      <c r="C1872" s="3"/>
      <c r="D1872" s="3"/>
      <c r="E1872" s="3"/>
      <c r="S1872" s="3"/>
      <c r="T1872" s="3"/>
      <c r="AI1872" s="3"/>
      <c r="AJ1872" s="3"/>
      <c r="AK1872" s="3"/>
      <c r="AL1872" s="3"/>
      <c r="AM1872" s="3"/>
      <c r="AN1872" s="3"/>
    </row>
    <row r="1873" spans="3:40">
      <c r="C1873" s="3"/>
      <c r="D1873" s="3"/>
      <c r="E1873" s="3"/>
      <c r="S1873" s="3"/>
      <c r="T1873" s="3"/>
      <c r="AI1873" s="3"/>
      <c r="AJ1873" s="3"/>
      <c r="AK1873" s="3"/>
      <c r="AL1873" s="3"/>
      <c r="AM1873" s="3"/>
      <c r="AN1873" s="3"/>
    </row>
    <row r="1874" spans="3:40">
      <c r="C1874" s="3"/>
      <c r="D1874" s="3"/>
      <c r="E1874" s="3"/>
      <c r="S1874" s="3"/>
      <c r="T1874" s="3"/>
      <c r="AI1874" s="3"/>
      <c r="AJ1874" s="3"/>
      <c r="AK1874" s="3"/>
      <c r="AL1874" s="3"/>
      <c r="AM1874" s="3"/>
      <c r="AN1874" s="3"/>
    </row>
    <row r="1875" spans="3:40">
      <c r="C1875" s="3"/>
      <c r="D1875" s="3"/>
      <c r="E1875" s="3"/>
      <c r="S1875" s="3"/>
      <c r="T1875" s="3"/>
      <c r="AI1875" s="3"/>
      <c r="AJ1875" s="3"/>
      <c r="AK1875" s="3"/>
      <c r="AL1875" s="3"/>
      <c r="AM1875" s="3"/>
      <c r="AN1875" s="3"/>
    </row>
    <row r="1876" spans="3:40">
      <c r="C1876" s="3"/>
      <c r="D1876" s="3"/>
      <c r="E1876" s="3"/>
      <c r="S1876" s="3"/>
      <c r="T1876" s="3"/>
      <c r="AI1876" s="3"/>
      <c r="AJ1876" s="3"/>
      <c r="AK1876" s="3"/>
      <c r="AL1876" s="3"/>
      <c r="AM1876" s="3"/>
      <c r="AN1876" s="3"/>
    </row>
    <row r="1877" spans="3:40">
      <c r="C1877" s="3"/>
      <c r="D1877" s="3"/>
      <c r="E1877" s="3"/>
      <c r="S1877" s="3"/>
      <c r="T1877" s="3"/>
      <c r="AI1877" s="3"/>
      <c r="AJ1877" s="3"/>
      <c r="AK1877" s="3"/>
      <c r="AL1877" s="3"/>
      <c r="AM1877" s="3"/>
      <c r="AN1877" s="3"/>
    </row>
    <row r="1878" spans="3:40">
      <c r="C1878" s="3"/>
      <c r="D1878" s="3"/>
      <c r="E1878" s="3"/>
      <c r="S1878" s="3"/>
      <c r="T1878" s="3"/>
      <c r="AI1878" s="3"/>
      <c r="AJ1878" s="3"/>
      <c r="AK1878" s="3"/>
      <c r="AL1878" s="3"/>
      <c r="AM1878" s="3"/>
      <c r="AN1878" s="3"/>
    </row>
    <row r="1879" spans="3:40">
      <c r="C1879" s="3"/>
      <c r="D1879" s="3"/>
      <c r="E1879" s="3"/>
      <c r="S1879" s="3"/>
      <c r="T1879" s="3"/>
      <c r="AI1879" s="3"/>
      <c r="AJ1879" s="3"/>
      <c r="AK1879" s="3"/>
      <c r="AL1879" s="3"/>
      <c r="AM1879" s="3"/>
      <c r="AN1879" s="3"/>
    </row>
    <row r="1880" spans="3:40">
      <c r="C1880" s="3"/>
      <c r="D1880" s="3"/>
      <c r="E1880" s="3"/>
      <c r="S1880" s="3"/>
      <c r="T1880" s="3"/>
      <c r="AI1880" s="3"/>
      <c r="AJ1880" s="3"/>
      <c r="AK1880" s="3"/>
      <c r="AL1880" s="3"/>
      <c r="AM1880" s="3"/>
      <c r="AN1880" s="3"/>
    </row>
    <row r="1881" spans="3:40">
      <c r="C1881" s="3"/>
      <c r="D1881" s="3"/>
      <c r="E1881" s="3"/>
      <c r="S1881" s="3"/>
      <c r="T1881" s="3"/>
      <c r="AI1881" s="3"/>
      <c r="AJ1881" s="3"/>
      <c r="AK1881" s="3"/>
      <c r="AL1881" s="3"/>
      <c r="AM1881" s="3"/>
      <c r="AN1881" s="3"/>
    </row>
    <row r="1882" spans="3:40">
      <c r="C1882" s="3"/>
      <c r="D1882" s="3"/>
      <c r="E1882" s="3"/>
      <c r="S1882" s="3"/>
      <c r="T1882" s="3"/>
      <c r="AI1882" s="3"/>
      <c r="AJ1882" s="3"/>
      <c r="AK1882" s="3"/>
      <c r="AL1882" s="3"/>
      <c r="AM1882" s="3"/>
      <c r="AN1882" s="3"/>
    </row>
    <row r="1883" spans="3:40">
      <c r="C1883" s="3"/>
      <c r="D1883" s="3"/>
      <c r="E1883" s="3"/>
      <c r="S1883" s="3"/>
      <c r="T1883" s="3"/>
      <c r="AI1883" s="3"/>
      <c r="AJ1883" s="3"/>
      <c r="AK1883" s="3"/>
      <c r="AL1883" s="3"/>
      <c r="AM1883" s="3"/>
      <c r="AN1883" s="3"/>
    </row>
    <row r="1884" spans="3:40">
      <c r="C1884" s="3"/>
      <c r="D1884" s="3"/>
      <c r="E1884" s="3"/>
      <c r="S1884" s="3"/>
      <c r="T1884" s="3"/>
      <c r="AI1884" s="3"/>
      <c r="AJ1884" s="3"/>
      <c r="AK1884" s="3"/>
      <c r="AL1884" s="3"/>
      <c r="AM1884" s="3"/>
      <c r="AN1884" s="3"/>
    </row>
    <row r="1885" spans="3:40">
      <c r="C1885" s="3"/>
      <c r="D1885" s="3"/>
      <c r="E1885" s="3"/>
      <c r="S1885" s="3"/>
      <c r="T1885" s="3"/>
      <c r="AI1885" s="3"/>
      <c r="AJ1885" s="3"/>
      <c r="AK1885" s="3"/>
      <c r="AL1885" s="3"/>
      <c r="AM1885" s="3"/>
      <c r="AN1885" s="3"/>
    </row>
    <row r="1886" spans="3:40">
      <c r="C1886" s="3"/>
      <c r="D1886" s="3"/>
      <c r="E1886" s="3"/>
      <c r="S1886" s="3"/>
      <c r="T1886" s="3"/>
      <c r="AI1886" s="3"/>
      <c r="AJ1886" s="3"/>
      <c r="AK1886" s="3"/>
      <c r="AL1886" s="3"/>
      <c r="AM1886" s="3"/>
      <c r="AN1886" s="3"/>
    </row>
    <row r="1887" spans="3:40">
      <c r="C1887" s="3"/>
      <c r="D1887" s="3"/>
      <c r="E1887" s="3"/>
      <c r="S1887" s="3"/>
      <c r="T1887" s="3"/>
      <c r="AI1887" s="3"/>
      <c r="AJ1887" s="3"/>
      <c r="AK1887" s="3"/>
      <c r="AL1887" s="3"/>
      <c r="AM1887" s="3"/>
      <c r="AN1887" s="3"/>
    </row>
    <row r="1888" spans="3:40">
      <c r="C1888" s="3"/>
      <c r="D1888" s="3"/>
      <c r="E1888" s="3"/>
      <c r="S1888" s="3"/>
      <c r="T1888" s="3"/>
      <c r="AI1888" s="3"/>
      <c r="AJ1888" s="3"/>
      <c r="AK1888" s="3"/>
      <c r="AL1888" s="3"/>
      <c r="AM1888" s="3"/>
      <c r="AN1888" s="3"/>
    </row>
    <row r="1889" spans="3:40">
      <c r="C1889" s="3"/>
      <c r="D1889" s="3"/>
      <c r="E1889" s="3"/>
      <c r="S1889" s="3"/>
      <c r="T1889" s="3"/>
      <c r="AI1889" s="3"/>
      <c r="AJ1889" s="3"/>
      <c r="AK1889" s="3"/>
      <c r="AL1889" s="3"/>
      <c r="AM1889" s="3"/>
      <c r="AN1889" s="3"/>
    </row>
    <row r="1890" spans="3:40">
      <c r="C1890" s="3"/>
      <c r="D1890" s="3"/>
      <c r="E1890" s="3"/>
      <c r="S1890" s="3"/>
      <c r="T1890" s="3"/>
      <c r="AI1890" s="3"/>
      <c r="AJ1890" s="3"/>
      <c r="AK1890" s="3"/>
      <c r="AL1890" s="3"/>
      <c r="AM1890" s="3"/>
      <c r="AN1890" s="3"/>
    </row>
    <row r="1891" spans="3:40">
      <c r="C1891" s="3"/>
      <c r="D1891" s="3"/>
      <c r="E1891" s="3"/>
      <c r="S1891" s="3"/>
      <c r="T1891" s="3"/>
      <c r="AI1891" s="3"/>
      <c r="AJ1891" s="3"/>
      <c r="AK1891" s="3"/>
      <c r="AL1891" s="3"/>
      <c r="AM1891" s="3"/>
      <c r="AN1891" s="3"/>
    </row>
    <row r="1892" spans="3:40">
      <c r="C1892" s="3"/>
      <c r="D1892" s="3"/>
      <c r="E1892" s="3"/>
      <c r="S1892" s="3"/>
      <c r="T1892" s="3"/>
      <c r="AI1892" s="3"/>
      <c r="AJ1892" s="3"/>
      <c r="AK1892" s="3"/>
      <c r="AL1892" s="3"/>
      <c r="AM1892" s="3"/>
      <c r="AN1892" s="3"/>
    </row>
    <row r="1893" spans="3:40">
      <c r="C1893" s="3"/>
      <c r="D1893" s="3"/>
      <c r="E1893" s="3"/>
      <c r="S1893" s="3"/>
      <c r="T1893" s="3"/>
      <c r="AI1893" s="3"/>
      <c r="AJ1893" s="3"/>
      <c r="AK1893" s="3"/>
      <c r="AL1893" s="3"/>
      <c r="AM1893" s="3"/>
      <c r="AN1893" s="3"/>
    </row>
    <row r="1894" spans="3:40">
      <c r="C1894" s="3"/>
      <c r="D1894" s="3"/>
      <c r="E1894" s="3"/>
      <c r="S1894" s="3"/>
      <c r="T1894" s="3"/>
      <c r="AI1894" s="3"/>
      <c r="AJ1894" s="3"/>
      <c r="AK1894" s="3"/>
      <c r="AL1894" s="3"/>
      <c r="AM1894" s="3"/>
      <c r="AN1894" s="3"/>
    </row>
    <row r="1895" spans="3:40">
      <c r="C1895" s="3"/>
      <c r="D1895" s="3"/>
      <c r="E1895" s="3"/>
      <c r="S1895" s="3"/>
      <c r="T1895" s="3"/>
      <c r="AI1895" s="3"/>
      <c r="AJ1895" s="3"/>
      <c r="AK1895" s="3"/>
      <c r="AL1895" s="3"/>
      <c r="AM1895" s="3"/>
      <c r="AN1895" s="3"/>
    </row>
    <row r="1896" spans="3:40">
      <c r="C1896" s="3"/>
      <c r="D1896" s="3"/>
      <c r="E1896" s="3"/>
      <c r="S1896" s="3"/>
      <c r="T1896" s="3"/>
      <c r="AI1896" s="3"/>
      <c r="AJ1896" s="3"/>
      <c r="AK1896" s="3"/>
      <c r="AL1896" s="3"/>
      <c r="AM1896" s="3"/>
      <c r="AN1896" s="3"/>
    </row>
    <row r="1897" spans="3:40">
      <c r="C1897" s="3"/>
      <c r="D1897" s="3"/>
      <c r="E1897" s="3"/>
      <c r="S1897" s="3"/>
      <c r="T1897" s="3"/>
      <c r="AI1897" s="3"/>
      <c r="AJ1897" s="3"/>
      <c r="AK1897" s="3"/>
      <c r="AL1897" s="3"/>
      <c r="AM1897" s="3"/>
      <c r="AN1897" s="3"/>
    </row>
    <row r="1898" spans="3:40">
      <c r="C1898" s="3"/>
      <c r="D1898" s="3"/>
      <c r="E1898" s="3"/>
      <c r="S1898" s="3"/>
      <c r="T1898" s="3"/>
      <c r="AI1898" s="3"/>
      <c r="AJ1898" s="3"/>
      <c r="AK1898" s="3"/>
      <c r="AL1898" s="3"/>
      <c r="AM1898" s="3"/>
      <c r="AN1898" s="3"/>
    </row>
    <row r="1899" spans="3:40">
      <c r="C1899" s="3"/>
      <c r="D1899" s="3"/>
      <c r="E1899" s="3"/>
      <c r="S1899" s="3"/>
      <c r="T1899" s="3"/>
      <c r="AI1899" s="3"/>
      <c r="AJ1899" s="3"/>
      <c r="AK1899" s="3"/>
      <c r="AL1899" s="3"/>
      <c r="AM1899" s="3"/>
      <c r="AN1899" s="3"/>
    </row>
    <row r="1900" spans="3:40">
      <c r="C1900" s="3"/>
      <c r="D1900" s="3"/>
      <c r="E1900" s="3"/>
      <c r="S1900" s="3"/>
      <c r="T1900" s="3"/>
      <c r="AI1900" s="3"/>
      <c r="AJ1900" s="3"/>
      <c r="AK1900" s="3"/>
      <c r="AL1900" s="3"/>
      <c r="AM1900" s="3"/>
      <c r="AN1900" s="3"/>
    </row>
    <row r="1901" spans="3:40">
      <c r="C1901" s="3"/>
      <c r="D1901" s="3"/>
      <c r="E1901" s="3"/>
      <c r="S1901" s="3"/>
      <c r="T1901" s="3"/>
      <c r="AI1901" s="3"/>
      <c r="AJ1901" s="3"/>
      <c r="AK1901" s="3"/>
      <c r="AL1901" s="3"/>
      <c r="AM1901" s="3"/>
      <c r="AN1901" s="3"/>
    </row>
    <row r="1902" spans="3:40">
      <c r="C1902" s="3"/>
      <c r="D1902" s="3"/>
      <c r="E1902" s="3"/>
      <c r="S1902" s="3"/>
      <c r="T1902" s="3"/>
      <c r="AI1902" s="3"/>
      <c r="AJ1902" s="3"/>
      <c r="AK1902" s="3"/>
      <c r="AL1902" s="3"/>
      <c r="AM1902" s="3"/>
      <c r="AN1902" s="3"/>
    </row>
    <row r="1903" spans="3:40">
      <c r="C1903" s="3"/>
      <c r="D1903" s="3"/>
      <c r="E1903" s="3"/>
      <c r="S1903" s="3"/>
      <c r="T1903" s="3"/>
      <c r="AI1903" s="3"/>
      <c r="AJ1903" s="3"/>
      <c r="AK1903" s="3"/>
      <c r="AL1903" s="3"/>
      <c r="AM1903" s="3"/>
      <c r="AN1903" s="3"/>
    </row>
    <row r="1904" spans="3:40">
      <c r="C1904" s="3"/>
      <c r="D1904" s="3"/>
      <c r="E1904" s="3"/>
      <c r="S1904" s="3"/>
      <c r="T1904" s="3"/>
      <c r="AI1904" s="3"/>
      <c r="AJ1904" s="3"/>
      <c r="AK1904" s="3"/>
      <c r="AL1904" s="3"/>
      <c r="AM1904" s="3"/>
      <c r="AN1904" s="3"/>
    </row>
    <row r="1905" spans="3:40">
      <c r="C1905" s="3"/>
      <c r="D1905" s="3"/>
      <c r="E1905" s="3"/>
      <c r="S1905" s="3"/>
      <c r="T1905" s="3"/>
      <c r="AI1905" s="3"/>
      <c r="AJ1905" s="3"/>
      <c r="AK1905" s="3"/>
      <c r="AL1905" s="3"/>
      <c r="AM1905" s="3"/>
      <c r="AN1905" s="3"/>
    </row>
    <row r="1906" spans="3:40">
      <c r="C1906" s="3"/>
      <c r="D1906" s="3"/>
      <c r="E1906" s="3"/>
      <c r="S1906" s="3"/>
      <c r="T1906" s="3"/>
      <c r="AI1906" s="3"/>
      <c r="AJ1906" s="3"/>
      <c r="AK1906" s="3"/>
      <c r="AL1906" s="3"/>
      <c r="AM1906" s="3"/>
      <c r="AN1906" s="3"/>
    </row>
    <row r="1907" spans="3:40">
      <c r="C1907" s="3"/>
      <c r="D1907" s="3"/>
      <c r="E1907" s="3"/>
      <c r="S1907" s="3"/>
      <c r="T1907" s="3"/>
      <c r="AI1907" s="3"/>
      <c r="AJ1907" s="3"/>
      <c r="AK1907" s="3"/>
      <c r="AL1907" s="3"/>
      <c r="AM1907" s="3"/>
      <c r="AN1907" s="3"/>
    </row>
    <row r="1908" spans="3:40">
      <c r="C1908" s="3"/>
      <c r="D1908" s="3"/>
      <c r="E1908" s="3"/>
      <c r="S1908" s="3"/>
      <c r="T1908" s="3"/>
      <c r="AI1908" s="3"/>
      <c r="AJ1908" s="3"/>
      <c r="AK1908" s="3"/>
      <c r="AL1908" s="3"/>
      <c r="AM1908" s="3"/>
      <c r="AN1908" s="3"/>
    </row>
    <row r="1909" spans="3:40">
      <c r="C1909" s="3"/>
      <c r="D1909" s="3"/>
      <c r="E1909" s="3"/>
      <c r="S1909" s="3"/>
      <c r="T1909" s="3"/>
      <c r="AI1909" s="3"/>
      <c r="AJ1909" s="3"/>
      <c r="AK1909" s="3"/>
      <c r="AL1909" s="3"/>
      <c r="AM1909" s="3"/>
      <c r="AN1909" s="3"/>
    </row>
    <row r="1910" spans="3:40">
      <c r="C1910" s="3"/>
      <c r="D1910" s="3"/>
      <c r="E1910" s="3"/>
      <c r="S1910" s="3"/>
      <c r="T1910" s="3"/>
      <c r="AI1910" s="3"/>
      <c r="AJ1910" s="3"/>
      <c r="AK1910" s="3"/>
      <c r="AL1910" s="3"/>
      <c r="AM1910" s="3"/>
      <c r="AN1910" s="3"/>
    </row>
    <row r="1911" spans="3:40">
      <c r="C1911" s="3"/>
      <c r="D1911" s="3"/>
      <c r="E1911" s="3"/>
      <c r="S1911" s="3"/>
      <c r="T1911" s="3"/>
      <c r="AI1911" s="3"/>
      <c r="AJ1911" s="3"/>
      <c r="AK1911" s="3"/>
      <c r="AL1911" s="3"/>
      <c r="AM1911" s="3"/>
      <c r="AN1911" s="3"/>
    </row>
    <row r="1912" spans="3:40">
      <c r="C1912" s="3"/>
      <c r="D1912" s="3"/>
      <c r="E1912" s="3"/>
      <c r="S1912" s="3"/>
      <c r="T1912" s="3"/>
      <c r="AI1912" s="3"/>
      <c r="AJ1912" s="3"/>
      <c r="AK1912" s="3"/>
      <c r="AL1912" s="3"/>
      <c r="AM1912" s="3"/>
      <c r="AN1912" s="3"/>
    </row>
    <row r="1913" spans="3:40">
      <c r="C1913" s="3"/>
      <c r="D1913" s="3"/>
      <c r="E1913" s="3"/>
      <c r="S1913" s="3"/>
      <c r="T1913" s="3"/>
      <c r="AI1913" s="3"/>
      <c r="AJ1913" s="3"/>
      <c r="AK1913" s="3"/>
      <c r="AL1913" s="3"/>
      <c r="AM1913" s="3"/>
      <c r="AN1913" s="3"/>
    </row>
    <row r="1914" spans="3:40">
      <c r="C1914" s="3"/>
      <c r="D1914" s="3"/>
      <c r="E1914" s="3"/>
      <c r="S1914" s="3"/>
      <c r="T1914" s="3"/>
      <c r="AI1914" s="3"/>
      <c r="AJ1914" s="3"/>
      <c r="AK1914" s="3"/>
      <c r="AL1914" s="3"/>
      <c r="AM1914" s="3"/>
      <c r="AN1914" s="3"/>
    </row>
    <row r="1915" spans="3:40">
      <c r="C1915" s="3"/>
      <c r="D1915" s="3"/>
      <c r="E1915" s="3"/>
      <c r="S1915" s="3"/>
      <c r="T1915" s="3"/>
      <c r="AI1915" s="3"/>
      <c r="AJ1915" s="3"/>
      <c r="AK1915" s="3"/>
      <c r="AL1915" s="3"/>
      <c r="AM1915" s="3"/>
      <c r="AN1915" s="3"/>
    </row>
    <row r="1916" spans="3:40">
      <c r="C1916" s="3"/>
      <c r="D1916" s="3"/>
      <c r="E1916" s="3"/>
      <c r="S1916" s="3"/>
      <c r="T1916" s="3"/>
      <c r="AI1916" s="3"/>
      <c r="AJ1916" s="3"/>
      <c r="AK1916" s="3"/>
      <c r="AL1916" s="3"/>
      <c r="AM1916" s="3"/>
      <c r="AN1916" s="3"/>
    </row>
    <row r="1917" spans="3:40">
      <c r="C1917" s="3"/>
      <c r="D1917" s="3"/>
      <c r="E1917" s="3"/>
      <c r="S1917" s="3"/>
      <c r="T1917" s="3"/>
      <c r="AI1917" s="3"/>
      <c r="AJ1917" s="3"/>
      <c r="AK1917" s="3"/>
      <c r="AL1917" s="3"/>
      <c r="AM1917" s="3"/>
      <c r="AN1917" s="3"/>
    </row>
    <row r="1918" spans="3:40">
      <c r="C1918" s="3"/>
      <c r="D1918" s="3"/>
      <c r="E1918" s="3"/>
      <c r="S1918" s="3"/>
      <c r="T1918" s="3"/>
      <c r="AI1918" s="3"/>
      <c r="AJ1918" s="3"/>
      <c r="AK1918" s="3"/>
      <c r="AL1918" s="3"/>
      <c r="AM1918" s="3"/>
      <c r="AN1918" s="3"/>
    </row>
    <row r="1919" spans="3:40">
      <c r="C1919" s="3"/>
      <c r="D1919" s="3"/>
      <c r="E1919" s="3"/>
      <c r="S1919" s="3"/>
      <c r="T1919" s="3"/>
      <c r="AI1919" s="3"/>
      <c r="AJ1919" s="3"/>
      <c r="AK1919" s="3"/>
      <c r="AL1919" s="3"/>
      <c r="AM1919" s="3"/>
      <c r="AN1919" s="3"/>
    </row>
    <row r="1920" spans="3:40">
      <c r="C1920" s="3"/>
      <c r="D1920" s="3"/>
      <c r="E1920" s="3"/>
      <c r="S1920" s="3"/>
      <c r="T1920" s="3"/>
      <c r="AI1920" s="3"/>
      <c r="AJ1920" s="3"/>
      <c r="AK1920" s="3"/>
      <c r="AL1920" s="3"/>
      <c r="AM1920" s="3"/>
      <c r="AN1920" s="3"/>
    </row>
    <row r="1921" spans="3:40">
      <c r="C1921" s="3"/>
      <c r="D1921" s="3"/>
      <c r="E1921" s="3"/>
      <c r="S1921" s="3"/>
      <c r="T1921" s="3"/>
      <c r="AI1921" s="3"/>
      <c r="AJ1921" s="3"/>
      <c r="AK1921" s="3"/>
      <c r="AL1921" s="3"/>
      <c r="AM1921" s="3"/>
      <c r="AN1921" s="3"/>
    </row>
    <row r="1922" spans="3:40">
      <c r="C1922" s="3"/>
      <c r="D1922" s="3"/>
      <c r="E1922" s="3"/>
      <c r="S1922" s="3"/>
      <c r="T1922" s="3"/>
      <c r="AI1922" s="3"/>
      <c r="AJ1922" s="3"/>
      <c r="AK1922" s="3"/>
      <c r="AL1922" s="3"/>
      <c r="AM1922" s="3"/>
      <c r="AN1922" s="3"/>
    </row>
    <row r="1923" spans="3:40">
      <c r="C1923" s="3"/>
      <c r="D1923" s="3"/>
      <c r="E1923" s="3"/>
      <c r="S1923" s="3"/>
      <c r="T1923" s="3"/>
      <c r="AI1923" s="3"/>
      <c r="AJ1923" s="3"/>
      <c r="AK1923" s="3"/>
      <c r="AL1923" s="3"/>
      <c r="AM1923" s="3"/>
      <c r="AN1923" s="3"/>
    </row>
    <row r="1924" spans="3:40">
      <c r="C1924" s="3"/>
      <c r="D1924" s="3"/>
      <c r="E1924" s="3"/>
      <c r="S1924" s="3"/>
      <c r="T1924" s="3"/>
      <c r="AI1924" s="3"/>
      <c r="AJ1924" s="3"/>
      <c r="AK1924" s="3"/>
      <c r="AL1924" s="3"/>
      <c r="AM1924" s="3"/>
      <c r="AN1924" s="3"/>
    </row>
    <row r="1925" spans="3:40">
      <c r="C1925" s="3"/>
      <c r="D1925" s="3"/>
      <c r="E1925" s="3"/>
      <c r="S1925" s="3"/>
      <c r="T1925" s="3"/>
      <c r="AI1925" s="3"/>
      <c r="AJ1925" s="3"/>
      <c r="AK1925" s="3"/>
      <c r="AL1925" s="3"/>
      <c r="AM1925" s="3"/>
      <c r="AN1925" s="3"/>
    </row>
    <row r="1926" spans="3:40">
      <c r="C1926" s="3"/>
      <c r="D1926" s="3"/>
      <c r="E1926" s="3"/>
      <c r="S1926" s="3"/>
      <c r="T1926" s="3"/>
      <c r="AI1926" s="3"/>
      <c r="AJ1926" s="3"/>
      <c r="AK1926" s="3"/>
      <c r="AL1926" s="3"/>
      <c r="AM1926" s="3"/>
      <c r="AN1926" s="3"/>
    </row>
    <row r="1927" spans="3:40">
      <c r="C1927" s="3"/>
      <c r="D1927" s="3"/>
      <c r="E1927" s="3"/>
      <c r="S1927" s="3"/>
      <c r="T1927" s="3"/>
      <c r="AI1927" s="3"/>
      <c r="AJ1927" s="3"/>
      <c r="AK1927" s="3"/>
      <c r="AL1927" s="3"/>
      <c r="AM1927" s="3"/>
      <c r="AN1927" s="3"/>
    </row>
    <row r="1928" spans="3:40">
      <c r="C1928" s="3"/>
      <c r="D1928" s="3"/>
      <c r="E1928" s="3"/>
      <c r="S1928" s="3"/>
      <c r="T1928" s="3"/>
      <c r="AI1928" s="3"/>
      <c r="AJ1928" s="3"/>
      <c r="AK1928" s="3"/>
      <c r="AL1928" s="3"/>
      <c r="AM1928" s="3"/>
      <c r="AN1928" s="3"/>
    </row>
    <row r="1929" spans="3:40">
      <c r="C1929" s="3"/>
      <c r="D1929" s="3"/>
      <c r="E1929" s="3"/>
      <c r="S1929" s="3"/>
      <c r="T1929" s="3"/>
      <c r="AI1929" s="3"/>
      <c r="AJ1929" s="3"/>
      <c r="AK1929" s="3"/>
      <c r="AL1929" s="3"/>
      <c r="AM1929" s="3"/>
      <c r="AN1929" s="3"/>
    </row>
    <row r="1930" spans="3:40">
      <c r="C1930" s="3"/>
      <c r="D1930" s="3"/>
      <c r="E1930" s="3"/>
      <c r="S1930" s="3"/>
      <c r="T1930" s="3"/>
      <c r="AI1930" s="3"/>
      <c r="AJ1930" s="3"/>
      <c r="AK1930" s="3"/>
      <c r="AL1930" s="3"/>
      <c r="AM1930" s="3"/>
      <c r="AN1930" s="3"/>
    </row>
    <row r="1931" spans="3:40">
      <c r="C1931" s="3"/>
      <c r="D1931" s="3"/>
      <c r="E1931" s="3"/>
      <c r="S1931" s="3"/>
      <c r="T1931" s="3"/>
      <c r="AI1931" s="3"/>
      <c r="AJ1931" s="3"/>
      <c r="AK1931" s="3"/>
      <c r="AL1931" s="3"/>
      <c r="AM1931" s="3"/>
      <c r="AN1931" s="3"/>
    </row>
    <row r="1932" spans="3:40">
      <c r="C1932" s="3"/>
      <c r="D1932" s="3"/>
      <c r="E1932" s="3"/>
      <c r="S1932" s="3"/>
      <c r="T1932" s="3"/>
      <c r="AI1932" s="3"/>
      <c r="AJ1932" s="3"/>
      <c r="AK1932" s="3"/>
      <c r="AL1932" s="3"/>
      <c r="AM1932" s="3"/>
      <c r="AN1932" s="3"/>
    </row>
    <row r="1933" spans="3:40">
      <c r="C1933" s="3"/>
      <c r="D1933" s="3"/>
      <c r="E1933" s="3"/>
      <c r="S1933" s="3"/>
      <c r="T1933" s="3"/>
      <c r="AI1933" s="3"/>
      <c r="AJ1933" s="3"/>
      <c r="AK1933" s="3"/>
      <c r="AL1933" s="3"/>
      <c r="AM1933" s="3"/>
      <c r="AN1933" s="3"/>
    </row>
    <row r="1934" spans="3:40">
      <c r="C1934" s="3"/>
      <c r="D1934" s="3"/>
      <c r="E1934" s="3"/>
      <c r="S1934" s="3"/>
      <c r="T1934" s="3"/>
      <c r="AI1934" s="3"/>
      <c r="AJ1934" s="3"/>
      <c r="AK1934" s="3"/>
      <c r="AL1934" s="3"/>
      <c r="AM1934" s="3"/>
      <c r="AN1934" s="3"/>
    </row>
    <row r="1935" spans="3:40">
      <c r="C1935" s="3"/>
      <c r="D1935" s="3"/>
      <c r="E1935" s="3"/>
      <c r="S1935" s="3"/>
      <c r="T1935" s="3"/>
      <c r="AI1935" s="3"/>
      <c r="AJ1935" s="3"/>
      <c r="AK1935" s="3"/>
      <c r="AL1935" s="3"/>
      <c r="AM1935" s="3"/>
      <c r="AN1935" s="3"/>
    </row>
    <row r="1936" spans="3:40">
      <c r="C1936" s="3"/>
      <c r="D1936" s="3"/>
      <c r="E1936" s="3"/>
      <c r="S1936" s="3"/>
      <c r="T1936" s="3"/>
      <c r="AI1936" s="3"/>
      <c r="AJ1936" s="3"/>
      <c r="AK1936" s="3"/>
      <c r="AL1936" s="3"/>
      <c r="AM1936" s="3"/>
      <c r="AN1936" s="3"/>
    </row>
    <row r="1937" spans="3:40">
      <c r="C1937" s="3"/>
      <c r="D1937" s="3"/>
      <c r="E1937" s="3"/>
      <c r="S1937" s="3"/>
      <c r="T1937" s="3"/>
      <c r="AI1937" s="3"/>
      <c r="AJ1937" s="3"/>
      <c r="AK1937" s="3"/>
      <c r="AL1937" s="3"/>
      <c r="AM1937" s="3"/>
      <c r="AN1937" s="3"/>
    </row>
    <row r="1938" spans="3:40">
      <c r="C1938" s="3"/>
      <c r="D1938" s="3"/>
      <c r="E1938" s="3"/>
      <c r="S1938" s="3"/>
      <c r="T1938" s="3"/>
      <c r="AI1938" s="3"/>
      <c r="AJ1938" s="3"/>
      <c r="AK1938" s="3"/>
      <c r="AL1938" s="3"/>
      <c r="AM1938" s="3"/>
      <c r="AN1938" s="3"/>
    </row>
    <row r="1939" spans="3:40">
      <c r="C1939" s="3"/>
      <c r="D1939" s="3"/>
      <c r="E1939" s="3"/>
      <c r="S1939" s="3"/>
      <c r="T1939" s="3"/>
      <c r="AI1939" s="3"/>
      <c r="AJ1939" s="3"/>
      <c r="AK1939" s="3"/>
      <c r="AL1939" s="3"/>
      <c r="AM1939" s="3"/>
      <c r="AN1939" s="3"/>
    </row>
    <row r="1940" spans="3:40">
      <c r="C1940" s="3"/>
      <c r="D1940" s="3"/>
      <c r="E1940" s="3"/>
      <c r="S1940" s="3"/>
      <c r="T1940" s="3"/>
      <c r="AI1940" s="3"/>
      <c r="AJ1940" s="3"/>
      <c r="AK1940" s="3"/>
      <c r="AL1940" s="3"/>
      <c r="AM1940" s="3"/>
      <c r="AN1940" s="3"/>
    </row>
    <row r="1941" spans="3:40">
      <c r="C1941" s="3"/>
      <c r="D1941" s="3"/>
      <c r="E1941" s="3"/>
      <c r="S1941" s="3"/>
      <c r="T1941" s="3"/>
      <c r="AI1941" s="3"/>
      <c r="AJ1941" s="3"/>
      <c r="AK1941" s="3"/>
      <c r="AL1941" s="3"/>
      <c r="AM1941" s="3"/>
      <c r="AN1941" s="3"/>
    </row>
    <row r="1942" spans="3:40">
      <c r="C1942" s="3"/>
      <c r="D1942" s="3"/>
      <c r="E1942" s="3"/>
      <c r="S1942" s="3"/>
      <c r="T1942" s="3"/>
      <c r="AI1942" s="3"/>
      <c r="AJ1942" s="3"/>
      <c r="AK1942" s="3"/>
      <c r="AL1942" s="3"/>
      <c r="AM1942" s="3"/>
      <c r="AN1942" s="3"/>
    </row>
    <row r="1943" spans="3:40">
      <c r="C1943" s="3"/>
      <c r="D1943" s="3"/>
      <c r="E1943" s="3"/>
      <c r="S1943" s="3"/>
      <c r="T1943" s="3"/>
      <c r="AI1943" s="3"/>
      <c r="AJ1943" s="3"/>
      <c r="AK1943" s="3"/>
      <c r="AL1943" s="3"/>
      <c r="AM1943" s="3"/>
      <c r="AN1943" s="3"/>
    </row>
    <row r="1944" spans="3:40">
      <c r="C1944" s="3"/>
      <c r="D1944" s="3"/>
      <c r="E1944" s="3"/>
      <c r="S1944" s="3"/>
      <c r="T1944" s="3"/>
      <c r="AI1944" s="3"/>
      <c r="AJ1944" s="3"/>
      <c r="AK1944" s="3"/>
      <c r="AL1944" s="3"/>
      <c r="AM1944" s="3"/>
      <c r="AN1944" s="3"/>
    </row>
    <row r="1945" spans="3:40">
      <c r="C1945" s="3"/>
      <c r="D1945" s="3"/>
      <c r="E1945" s="3"/>
      <c r="S1945" s="3"/>
      <c r="T1945" s="3"/>
      <c r="AI1945" s="3"/>
      <c r="AJ1945" s="3"/>
      <c r="AK1945" s="3"/>
      <c r="AL1945" s="3"/>
      <c r="AM1945" s="3"/>
      <c r="AN1945" s="3"/>
    </row>
    <row r="1946" spans="3:40">
      <c r="C1946" s="3"/>
      <c r="D1946" s="3"/>
      <c r="E1946" s="3"/>
      <c r="S1946" s="3"/>
      <c r="T1946" s="3"/>
      <c r="AI1946" s="3"/>
      <c r="AJ1946" s="3"/>
      <c r="AK1946" s="3"/>
      <c r="AL1946" s="3"/>
      <c r="AM1946" s="3"/>
      <c r="AN1946" s="3"/>
    </row>
    <row r="1947" spans="3:40">
      <c r="C1947" s="3"/>
      <c r="D1947" s="3"/>
      <c r="E1947" s="3"/>
      <c r="S1947" s="3"/>
      <c r="T1947" s="3"/>
      <c r="AI1947" s="3"/>
      <c r="AJ1947" s="3"/>
      <c r="AK1947" s="3"/>
      <c r="AL1947" s="3"/>
      <c r="AM1947" s="3"/>
      <c r="AN1947" s="3"/>
    </row>
    <row r="1948" spans="3:40">
      <c r="C1948" s="3"/>
      <c r="D1948" s="3"/>
      <c r="E1948" s="3"/>
      <c r="S1948" s="3"/>
      <c r="T1948" s="3"/>
      <c r="AI1948" s="3"/>
      <c r="AJ1948" s="3"/>
      <c r="AK1948" s="3"/>
      <c r="AL1948" s="3"/>
      <c r="AM1948" s="3"/>
      <c r="AN1948" s="3"/>
    </row>
    <row r="1949" spans="3:40">
      <c r="C1949" s="3"/>
      <c r="D1949" s="3"/>
      <c r="E1949" s="3"/>
      <c r="S1949" s="3"/>
      <c r="T1949" s="3"/>
      <c r="AI1949" s="3"/>
      <c r="AJ1949" s="3"/>
      <c r="AK1949" s="3"/>
      <c r="AL1949" s="3"/>
      <c r="AM1949" s="3"/>
      <c r="AN1949" s="3"/>
    </row>
    <row r="1950" spans="3:40">
      <c r="C1950" s="3"/>
      <c r="D1950" s="3"/>
      <c r="E1950" s="3"/>
      <c r="S1950" s="3"/>
      <c r="T1950" s="3"/>
      <c r="AI1950" s="3"/>
      <c r="AJ1950" s="3"/>
      <c r="AK1950" s="3"/>
      <c r="AL1950" s="3"/>
      <c r="AM1950" s="3"/>
      <c r="AN1950" s="3"/>
    </row>
    <row r="1951" spans="3:40">
      <c r="C1951" s="3"/>
      <c r="D1951" s="3"/>
      <c r="E1951" s="3"/>
      <c r="S1951" s="3"/>
      <c r="T1951" s="3"/>
      <c r="AI1951" s="3"/>
      <c r="AJ1951" s="3"/>
      <c r="AK1951" s="3"/>
      <c r="AL1951" s="3"/>
      <c r="AM1951" s="3"/>
      <c r="AN1951" s="3"/>
    </row>
    <row r="1952" spans="3:40">
      <c r="C1952" s="3"/>
      <c r="D1952" s="3"/>
      <c r="E1952" s="3"/>
      <c r="S1952" s="3"/>
      <c r="T1952" s="3"/>
      <c r="AI1952" s="3"/>
      <c r="AJ1952" s="3"/>
      <c r="AK1952" s="3"/>
      <c r="AL1952" s="3"/>
      <c r="AM1952" s="3"/>
      <c r="AN1952" s="3"/>
    </row>
    <row r="1953" spans="3:40">
      <c r="C1953" s="3"/>
      <c r="D1953" s="3"/>
      <c r="E1953" s="3"/>
      <c r="S1953" s="3"/>
      <c r="T1953" s="3"/>
      <c r="AI1953" s="3"/>
      <c r="AJ1953" s="3"/>
      <c r="AK1953" s="3"/>
      <c r="AL1953" s="3"/>
      <c r="AM1953" s="3"/>
      <c r="AN1953" s="3"/>
    </row>
    <row r="1954" spans="3:40">
      <c r="C1954" s="3"/>
      <c r="D1954" s="3"/>
      <c r="E1954" s="3"/>
      <c r="S1954" s="3"/>
      <c r="T1954" s="3"/>
      <c r="AI1954" s="3"/>
      <c r="AJ1954" s="3"/>
      <c r="AK1954" s="3"/>
      <c r="AL1954" s="3"/>
      <c r="AM1954" s="3"/>
      <c r="AN1954" s="3"/>
    </row>
    <row r="1955" spans="3:40">
      <c r="C1955" s="3"/>
      <c r="D1955" s="3"/>
      <c r="E1955" s="3"/>
      <c r="S1955" s="3"/>
      <c r="T1955" s="3"/>
      <c r="AI1955" s="3"/>
      <c r="AJ1955" s="3"/>
      <c r="AK1955" s="3"/>
      <c r="AL1955" s="3"/>
      <c r="AM1955" s="3"/>
      <c r="AN1955" s="3"/>
    </row>
    <row r="1956" spans="3:40">
      <c r="C1956" s="3"/>
      <c r="D1956" s="3"/>
      <c r="E1956" s="3"/>
      <c r="S1956" s="3"/>
      <c r="T1956" s="3"/>
      <c r="AI1956" s="3"/>
      <c r="AJ1956" s="3"/>
      <c r="AK1956" s="3"/>
      <c r="AL1956" s="3"/>
      <c r="AM1956" s="3"/>
      <c r="AN1956" s="3"/>
    </row>
    <row r="1957" spans="3:40">
      <c r="C1957" s="3"/>
      <c r="D1957" s="3"/>
      <c r="E1957" s="3"/>
      <c r="S1957" s="3"/>
      <c r="T1957" s="3"/>
      <c r="AI1957" s="3"/>
      <c r="AJ1957" s="3"/>
      <c r="AK1957" s="3"/>
      <c r="AL1957" s="3"/>
      <c r="AM1957" s="3"/>
      <c r="AN1957" s="3"/>
    </row>
    <row r="1958" spans="3:40">
      <c r="C1958" s="3"/>
      <c r="D1958" s="3"/>
      <c r="E1958" s="3"/>
      <c r="S1958" s="3"/>
      <c r="T1958" s="3"/>
      <c r="AI1958" s="3"/>
      <c r="AJ1958" s="3"/>
      <c r="AK1958" s="3"/>
      <c r="AL1958" s="3"/>
      <c r="AM1958" s="3"/>
      <c r="AN1958" s="3"/>
    </row>
    <row r="1959" spans="3:40">
      <c r="C1959" s="3"/>
      <c r="D1959" s="3"/>
      <c r="E1959" s="3"/>
      <c r="S1959" s="3"/>
      <c r="T1959" s="3"/>
      <c r="AI1959" s="3"/>
      <c r="AJ1959" s="3"/>
      <c r="AK1959" s="3"/>
      <c r="AL1959" s="3"/>
      <c r="AM1959" s="3"/>
      <c r="AN1959" s="3"/>
    </row>
    <row r="1960" spans="3:40">
      <c r="C1960" s="3"/>
      <c r="D1960" s="3"/>
      <c r="E1960" s="3"/>
      <c r="S1960" s="3"/>
      <c r="T1960" s="3"/>
      <c r="AI1960" s="3"/>
      <c r="AJ1960" s="3"/>
      <c r="AK1960" s="3"/>
      <c r="AL1960" s="3"/>
      <c r="AM1960" s="3"/>
      <c r="AN1960" s="3"/>
    </row>
    <row r="1961" spans="3:40">
      <c r="C1961" s="3"/>
      <c r="D1961" s="3"/>
      <c r="E1961" s="3"/>
      <c r="S1961" s="3"/>
      <c r="T1961" s="3"/>
      <c r="AI1961" s="3"/>
      <c r="AJ1961" s="3"/>
      <c r="AK1961" s="3"/>
      <c r="AL1961" s="3"/>
      <c r="AM1961" s="3"/>
      <c r="AN1961" s="3"/>
    </row>
    <row r="1962" spans="3:40">
      <c r="C1962" s="3"/>
      <c r="D1962" s="3"/>
      <c r="E1962" s="3"/>
      <c r="S1962" s="3"/>
      <c r="T1962" s="3"/>
      <c r="AI1962" s="3"/>
      <c r="AJ1962" s="3"/>
      <c r="AK1962" s="3"/>
      <c r="AL1962" s="3"/>
      <c r="AM1962" s="3"/>
      <c r="AN1962" s="3"/>
    </row>
    <row r="1963" spans="3:40">
      <c r="C1963" s="3"/>
      <c r="D1963" s="3"/>
      <c r="E1963" s="3"/>
      <c r="S1963" s="3"/>
      <c r="T1963" s="3"/>
      <c r="AI1963" s="3"/>
      <c r="AJ1963" s="3"/>
      <c r="AK1963" s="3"/>
      <c r="AL1963" s="3"/>
      <c r="AM1963" s="3"/>
      <c r="AN1963" s="3"/>
    </row>
    <row r="1964" spans="3:40">
      <c r="C1964" s="3"/>
      <c r="D1964" s="3"/>
      <c r="E1964" s="3"/>
      <c r="S1964" s="3"/>
      <c r="T1964" s="3"/>
      <c r="AI1964" s="3"/>
      <c r="AJ1964" s="3"/>
      <c r="AK1964" s="3"/>
      <c r="AL1964" s="3"/>
      <c r="AM1964" s="3"/>
      <c r="AN1964" s="3"/>
    </row>
    <row r="1965" spans="3:40">
      <c r="C1965" s="3"/>
      <c r="D1965" s="3"/>
      <c r="E1965" s="3"/>
      <c r="S1965" s="3"/>
      <c r="T1965" s="3"/>
      <c r="AI1965" s="3"/>
      <c r="AJ1965" s="3"/>
      <c r="AK1965" s="3"/>
      <c r="AL1965" s="3"/>
      <c r="AM1965" s="3"/>
      <c r="AN1965" s="3"/>
    </row>
    <row r="1966" spans="3:40">
      <c r="C1966" s="3"/>
      <c r="D1966" s="3"/>
      <c r="E1966" s="3"/>
      <c r="S1966" s="3"/>
      <c r="T1966" s="3"/>
      <c r="AI1966" s="3"/>
      <c r="AJ1966" s="3"/>
      <c r="AK1966" s="3"/>
      <c r="AL1966" s="3"/>
      <c r="AM1966" s="3"/>
      <c r="AN1966" s="3"/>
    </row>
    <row r="1967" spans="3:40">
      <c r="C1967" s="3"/>
      <c r="D1967" s="3"/>
      <c r="E1967" s="3"/>
      <c r="S1967" s="3"/>
      <c r="T1967" s="3"/>
      <c r="AI1967" s="3"/>
      <c r="AJ1967" s="3"/>
      <c r="AK1967" s="3"/>
      <c r="AL1967" s="3"/>
      <c r="AM1967" s="3"/>
      <c r="AN1967" s="3"/>
    </row>
    <row r="1968" spans="3:40">
      <c r="C1968" s="3"/>
      <c r="D1968" s="3"/>
      <c r="E1968" s="3"/>
      <c r="S1968" s="3"/>
      <c r="T1968" s="3"/>
      <c r="AI1968" s="3"/>
      <c r="AJ1968" s="3"/>
      <c r="AK1968" s="3"/>
      <c r="AL1968" s="3"/>
      <c r="AM1968" s="3"/>
      <c r="AN1968" s="3"/>
    </row>
    <row r="1969" spans="3:40">
      <c r="C1969" s="3"/>
      <c r="D1969" s="3"/>
      <c r="E1969" s="3"/>
      <c r="S1969" s="3"/>
      <c r="T1969" s="3"/>
      <c r="AI1969" s="3"/>
      <c r="AJ1969" s="3"/>
      <c r="AK1969" s="3"/>
      <c r="AL1969" s="3"/>
      <c r="AM1969" s="3"/>
      <c r="AN1969" s="3"/>
    </row>
    <row r="1970" spans="3:40">
      <c r="C1970" s="3"/>
      <c r="D1970" s="3"/>
      <c r="E1970" s="3"/>
      <c r="S1970" s="3"/>
      <c r="T1970" s="3"/>
      <c r="AI1970" s="3"/>
      <c r="AJ1970" s="3"/>
      <c r="AK1970" s="3"/>
      <c r="AL1970" s="3"/>
      <c r="AM1970" s="3"/>
      <c r="AN1970" s="3"/>
    </row>
    <row r="1971" spans="3:40">
      <c r="C1971" s="3"/>
      <c r="D1971" s="3"/>
      <c r="E1971" s="3"/>
      <c r="S1971" s="3"/>
      <c r="T1971" s="3"/>
      <c r="AI1971" s="3"/>
      <c r="AJ1971" s="3"/>
      <c r="AK1971" s="3"/>
      <c r="AL1971" s="3"/>
      <c r="AM1971" s="3"/>
      <c r="AN1971" s="3"/>
    </row>
    <row r="1972" spans="3:40">
      <c r="C1972" s="3"/>
      <c r="D1972" s="3"/>
      <c r="E1972" s="3"/>
      <c r="S1972" s="3"/>
      <c r="T1972" s="3"/>
      <c r="AI1972" s="3"/>
      <c r="AJ1972" s="3"/>
      <c r="AK1972" s="3"/>
      <c r="AL1972" s="3"/>
      <c r="AM1972" s="3"/>
      <c r="AN1972" s="3"/>
    </row>
    <row r="1973" spans="3:40">
      <c r="C1973" s="3"/>
      <c r="D1973" s="3"/>
      <c r="E1973" s="3"/>
      <c r="S1973" s="3"/>
      <c r="T1973" s="3"/>
      <c r="AI1973" s="3"/>
      <c r="AJ1973" s="3"/>
      <c r="AK1973" s="3"/>
      <c r="AL1973" s="3"/>
      <c r="AM1973" s="3"/>
      <c r="AN1973" s="3"/>
    </row>
    <row r="1974" spans="3:40">
      <c r="C1974" s="3"/>
      <c r="D1974" s="3"/>
      <c r="E1974" s="3"/>
      <c r="S1974" s="3"/>
      <c r="T1974" s="3"/>
      <c r="AI1974" s="3"/>
      <c r="AJ1974" s="3"/>
      <c r="AK1974" s="3"/>
      <c r="AL1974" s="3"/>
      <c r="AM1974" s="3"/>
      <c r="AN1974" s="3"/>
    </row>
    <row r="1975" spans="3:40">
      <c r="C1975" s="3"/>
      <c r="D1975" s="3"/>
      <c r="E1975" s="3"/>
      <c r="S1975" s="3"/>
      <c r="T1975" s="3"/>
      <c r="AI1975" s="3"/>
      <c r="AJ1975" s="3"/>
      <c r="AK1975" s="3"/>
      <c r="AL1975" s="3"/>
      <c r="AM1975" s="3"/>
      <c r="AN1975" s="3"/>
    </row>
    <row r="1976" spans="3:40">
      <c r="C1976" s="3"/>
      <c r="D1976" s="3"/>
      <c r="E1976" s="3"/>
      <c r="S1976" s="3"/>
      <c r="T1976" s="3"/>
      <c r="AI1976" s="3"/>
      <c r="AJ1976" s="3"/>
      <c r="AK1976" s="3"/>
      <c r="AL1976" s="3"/>
      <c r="AM1976" s="3"/>
      <c r="AN1976" s="3"/>
    </row>
    <row r="1977" spans="3:40">
      <c r="C1977" s="3"/>
      <c r="D1977" s="3"/>
      <c r="E1977" s="3"/>
      <c r="S1977" s="3"/>
      <c r="T1977" s="3"/>
      <c r="AI1977" s="3"/>
      <c r="AJ1977" s="3"/>
      <c r="AK1977" s="3"/>
      <c r="AL1977" s="3"/>
      <c r="AM1977" s="3"/>
      <c r="AN1977" s="3"/>
    </row>
    <row r="1978" spans="3:40">
      <c r="C1978" s="3"/>
      <c r="D1978" s="3"/>
      <c r="E1978" s="3"/>
      <c r="S1978" s="3"/>
      <c r="T1978" s="3"/>
      <c r="AI1978" s="3"/>
      <c r="AJ1978" s="3"/>
      <c r="AK1978" s="3"/>
      <c r="AL1978" s="3"/>
      <c r="AM1978" s="3"/>
      <c r="AN1978" s="3"/>
    </row>
    <row r="1979" spans="3:40">
      <c r="C1979" s="3"/>
      <c r="D1979" s="3"/>
      <c r="E1979" s="3"/>
      <c r="S1979" s="3"/>
      <c r="T1979" s="3"/>
      <c r="AI1979" s="3"/>
      <c r="AJ1979" s="3"/>
      <c r="AK1979" s="3"/>
      <c r="AL1979" s="3"/>
      <c r="AM1979" s="3"/>
      <c r="AN1979" s="3"/>
    </row>
    <row r="1980" spans="3:40">
      <c r="C1980" s="3"/>
      <c r="D1980" s="3"/>
      <c r="E1980" s="3"/>
      <c r="S1980" s="3"/>
      <c r="T1980" s="3"/>
      <c r="AI1980" s="3"/>
      <c r="AJ1980" s="3"/>
      <c r="AK1980" s="3"/>
      <c r="AL1980" s="3"/>
      <c r="AM1980" s="3"/>
      <c r="AN1980" s="3"/>
    </row>
    <row r="1981" spans="3:40">
      <c r="C1981" s="3"/>
      <c r="D1981" s="3"/>
      <c r="E1981" s="3"/>
      <c r="S1981" s="3"/>
      <c r="T1981" s="3"/>
      <c r="AI1981" s="3"/>
      <c r="AJ1981" s="3"/>
      <c r="AK1981" s="3"/>
      <c r="AL1981" s="3"/>
      <c r="AM1981" s="3"/>
      <c r="AN1981" s="3"/>
    </row>
    <row r="1982" spans="3:40">
      <c r="C1982" s="3"/>
      <c r="D1982" s="3"/>
      <c r="E1982" s="3"/>
      <c r="S1982" s="3"/>
      <c r="T1982" s="3"/>
      <c r="AI1982" s="3"/>
      <c r="AJ1982" s="3"/>
      <c r="AK1982" s="3"/>
      <c r="AL1982" s="3"/>
      <c r="AM1982" s="3"/>
      <c r="AN1982" s="3"/>
    </row>
    <row r="1983" spans="3:40">
      <c r="C1983" s="3"/>
      <c r="D1983" s="3"/>
      <c r="E1983" s="3"/>
      <c r="S1983" s="3"/>
      <c r="T1983" s="3"/>
      <c r="AI1983" s="3"/>
      <c r="AJ1983" s="3"/>
      <c r="AK1983" s="3"/>
      <c r="AL1983" s="3"/>
      <c r="AM1983" s="3"/>
      <c r="AN1983" s="3"/>
    </row>
    <row r="1984" spans="3:40">
      <c r="C1984" s="3"/>
      <c r="D1984" s="3"/>
      <c r="E1984" s="3"/>
      <c r="S1984" s="3"/>
      <c r="T1984" s="3"/>
      <c r="AI1984" s="3"/>
      <c r="AJ1984" s="3"/>
      <c r="AK1984" s="3"/>
      <c r="AL1984" s="3"/>
      <c r="AM1984" s="3"/>
      <c r="AN1984" s="3"/>
    </row>
    <row r="1985" spans="3:40">
      <c r="C1985" s="3"/>
      <c r="D1985" s="3"/>
      <c r="E1985" s="3"/>
      <c r="S1985" s="3"/>
      <c r="T1985" s="3"/>
      <c r="AI1985" s="3"/>
      <c r="AJ1985" s="3"/>
      <c r="AK1985" s="3"/>
      <c r="AL1985" s="3"/>
      <c r="AM1985" s="3"/>
      <c r="AN1985" s="3"/>
    </row>
    <row r="1986" spans="3:40">
      <c r="C1986" s="3"/>
      <c r="D1986" s="3"/>
      <c r="E1986" s="3"/>
      <c r="S1986" s="3"/>
      <c r="T1986" s="3"/>
      <c r="AI1986" s="3"/>
      <c r="AJ1986" s="3"/>
      <c r="AK1986" s="3"/>
      <c r="AL1986" s="3"/>
      <c r="AM1986" s="3"/>
      <c r="AN1986" s="3"/>
    </row>
    <row r="1987" spans="3:40">
      <c r="C1987" s="3"/>
      <c r="D1987" s="3"/>
      <c r="E1987" s="3"/>
      <c r="S1987" s="3"/>
      <c r="T1987" s="3"/>
      <c r="AI1987" s="3"/>
      <c r="AJ1987" s="3"/>
      <c r="AK1987" s="3"/>
      <c r="AL1987" s="3"/>
      <c r="AM1987" s="3"/>
      <c r="AN1987" s="3"/>
    </row>
    <row r="1988" spans="3:40">
      <c r="C1988" s="3"/>
      <c r="D1988" s="3"/>
      <c r="E1988" s="3"/>
      <c r="S1988" s="3"/>
      <c r="T1988" s="3"/>
      <c r="AI1988" s="3"/>
      <c r="AJ1988" s="3"/>
      <c r="AK1988" s="3"/>
      <c r="AL1988" s="3"/>
      <c r="AM1988" s="3"/>
      <c r="AN1988" s="3"/>
    </row>
    <row r="1989" spans="3:40">
      <c r="C1989" s="3"/>
      <c r="D1989" s="3"/>
      <c r="E1989" s="3"/>
      <c r="S1989" s="3"/>
      <c r="T1989" s="3"/>
      <c r="AI1989" s="3"/>
      <c r="AJ1989" s="3"/>
      <c r="AK1989" s="3"/>
      <c r="AL1989" s="3"/>
      <c r="AM1989" s="3"/>
      <c r="AN1989" s="3"/>
    </row>
    <row r="1990" spans="3:40">
      <c r="C1990" s="3"/>
      <c r="D1990" s="3"/>
      <c r="E1990" s="3"/>
      <c r="S1990" s="3"/>
      <c r="T1990" s="3"/>
      <c r="AI1990" s="3"/>
      <c r="AJ1990" s="3"/>
      <c r="AK1990" s="3"/>
      <c r="AL1990" s="3"/>
      <c r="AM1990" s="3"/>
      <c r="AN1990" s="3"/>
    </row>
    <row r="1991" spans="3:40">
      <c r="C1991" s="3"/>
      <c r="D1991" s="3"/>
      <c r="E1991" s="3"/>
      <c r="S1991" s="3"/>
      <c r="T1991" s="3"/>
      <c r="AI1991" s="3"/>
      <c r="AJ1991" s="3"/>
      <c r="AK1991" s="3"/>
      <c r="AL1991" s="3"/>
      <c r="AM1991" s="3"/>
      <c r="AN1991" s="3"/>
    </row>
    <row r="1992" spans="3:40">
      <c r="C1992" s="3"/>
      <c r="D1992" s="3"/>
      <c r="E1992" s="3"/>
      <c r="S1992" s="3"/>
      <c r="T1992" s="3"/>
      <c r="AI1992" s="3"/>
      <c r="AJ1992" s="3"/>
      <c r="AK1992" s="3"/>
      <c r="AL1992" s="3"/>
      <c r="AM1992" s="3"/>
      <c r="AN1992" s="3"/>
    </row>
    <row r="1993" spans="3:40">
      <c r="C1993" s="3"/>
      <c r="D1993" s="3"/>
      <c r="E1993" s="3"/>
      <c r="S1993" s="3"/>
      <c r="T1993" s="3"/>
      <c r="AI1993" s="3"/>
      <c r="AJ1993" s="3"/>
      <c r="AK1993" s="3"/>
      <c r="AL1993" s="3"/>
      <c r="AM1993" s="3"/>
      <c r="AN1993" s="3"/>
    </row>
    <row r="1994" spans="3:40">
      <c r="C1994" s="3"/>
      <c r="D1994" s="3"/>
      <c r="E1994" s="3"/>
      <c r="S1994" s="3"/>
      <c r="T1994" s="3"/>
      <c r="AI1994" s="3"/>
      <c r="AJ1994" s="3"/>
      <c r="AK1994" s="3"/>
      <c r="AL1994" s="3"/>
      <c r="AM1994" s="3"/>
      <c r="AN1994" s="3"/>
    </row>
    <row r="1995" spans="3:40">
      <c r="C1995" s="3"/>
      <c r="D1995" s="3"/>
      <c r="E1995" s="3"/>
      <c r="S1995" s="3"/>
      <c r="T1995" s="3"/>
      <c r="AI1995" s="3"/>
      <c r="AJ1995" s="3"/>
      <c r="AK1995" s="3"/>
      <c r="AL1995" s="3"/>
      <c r="AM1995" s="3"/>
      <c r="AN1995" s="3"/>
    </row>
    <row r="1996" spans="3:40">
      <c r="C1996" s="3"/>
      <c r="D1996" s="3"/>
      <c r="E1996" s="3"/>
      <c r="S1996" s="3"/>
      <c r="T1996" s="3"/>
      <c r="AI1996" s="3"/>
      <c r="AJ1996" s="3"/>
      <c r="AK1996" s="3"/>
      <c r="AL1996" s="3"/>
      <c r="AM1996" s="3"/>
      <c r="AN1996" s="3"/>
    </row>
    <row r="1997" spans="3:40">
      <c r="C1997" s="3"/>
      <c r="D1997" s="3"/>
      <c r="E1997" s="3"/>
      <c r="S1997" s="3"/>
      <c r="T1997" s="3"/>
      <c r="AI1997" s="3"/>
      <c r="AJ1997" s="3"/>
      <c r="AK1997" s="3"/>
      <c r="AL1997" s="3"/>
      <c r="AM1997" s="3"/>
      <c r="AN1997" s="3"/>
    </row>
    <row r="1998" spans="3:40">
      <c r="C1998" s="3"/>
      <c r="D1998" s="3"/>
      <c r="E1998" s="3"/>
      <c r="S1998" s="3"/>
      <c r="T1998" s="3"/>
      <c r="AI1998" s="3"/>
      <c r="AJ1998" s="3"/>
      <c r="AK1998" s="3"/>
      <c r="AL1998" s="3"/>
      <c r="AM1998" s="3"/>
      <c r="AN1998" s="3"/>
    </row>
    <row r="1999" spans="3:40">
      <c r="C1999" s="3"/>
      <c r="D1999" s="3"/>
      <c r="E1999" s="3"/>
      <c r="S1999" s="3"/>
      <c r="T1999" s="3"/>
      <c r="AI1999" s="3"/>
      <c r="AJ1999" s="3"/>
      <c r="AK1999" s="3"/>
      <c r="AL1999" s="3"/>
      <c r="AM1999" s="3"/>
      <c r="AN1999" s="3"/>
    </row>
    <row r="2000" spans="3:40">
      <c r="C2000" s="3"/>
      <c r="D2000" s="3"/>
      <c r="E2000" s="3"/>
      <c r="S2000" s="3"/>
      <c r="T2000" s="3"/>
      <c r="AI2000" s="3"/>
      <c r="AJ2000" s="3"/>
      <c r="AK2000" s="3"/>
      <c r="AL2000" s="3"/>
      <c r="AM2000" s="3"/>
      <c r="AN2000" s="3"/>
    </row>
    <row r="2001" spans="3:40">
      <c r="C2001" s="3"/>
      <c r="D2001" s="3"/>
      <c r="E2001" s="3"/>
      <c r="S2001" s="3"/>
      <c r="T2001" s="3"/>
      <c r="AI2001" s="3"/>
      <c r="AJ2001" s="3"/>
      <c r="AK2001" s="3"/>
      <c r="AL2001" s="3"/>
      <c r="AM2001" s="3"/>
      <c r="AN2001" s="3"/>
    </row>
    <row r="2002" spans="3:40">
      <c r="C2002" s="3"/>
      <c r="D2002" s="3"/>
      <c r="E2002" s="3"/>
      <c r="S2002" s="3"/>
      <c r="T2002" s="3"/>
      <c r="AI2002" s="3"/>
      <c r="AJ2002" s="3"/>
      <c r="AK2002" s="3"/>
      <c r="AL2002" s="3"/>
      <c r="AM2002" s="3"/>
      <c r="AN2002" s="3"/>
    </row>
    <row r="2003" spans="3:40">
      <c r="C2003" s="3"/>
      <c r="D2003" s="3"/>
      <c r="E2003" s="3"/>
      <c r="S2003" s="3"/>
      <c r="T2003" s="3"/>
      <c r="AI2003" s="3"/>
      <c r="AJ2003" s="3"/>
      <c r="AK2003" s="3"/>
      <c r="AL2003" s="3"/>
      <c r="AM2003" s="3"/>
      <c r="AN2003" s="3"/>
    </row>
    <row r="2004" spans="3:40">
      <c r="C2004" s="3"/>
      <c r="D2004" s="3"/>
      <c r="E2004" s="3"/>
      <c r="S2004" s="3"/>
      <c r="T2004" s="3"/>
      <c r="AI2004" s="3"/>
      <c r="AJ2004" s="3"/>
      <c r="AK2004" s="3"/>
      <c r="AL2004" s="3"/>
      <c r="AM2004" s="3"/>
      <c r="AN2004" s="3"/>
    </row>
    <row r="2005" spans="3:40">
      <c r="C2005" s="3"/>
      <c r="D2005" s="3"/>
      <c r="E2005" s="3"/>
      <c r="S2005" s="3"/>
      <c r="T2005" s="3"/>
      <c r="AI2005" s="3"/>
      <c r="AJ2005" s="3"/>
      <c r="AK2005" s="3"/>
      <c r="AL2005" s="3"/>
      <c r="AM2005" s="3"/>
      <c r="AN2005" s="3"/>
    </row>
    <row r="2006" spans="3:40">
      <c r="C2006" s="3"/>
      <c r="D2006" s="3"/>
      <c r="E2006" s="3"/>
      <c r="S2006" s="3"/>
      <c r="T2006" s="3"/>
      <c r="AI2006" s="3"/>
      <c r="AJ2006" s="3"/>
      <c r="AK2006" s="3"/>
      <c r="AL2006" s="3"/>
      <c r="AM2006" s="3"/>
      <c r="AN2006" s="3"/>
    </row>
    <row r="2007" spans="3:40">
      <c r="C2007" s="3"/>
      <c r="D2007" s="3"/>
      <c r="E2007" s="3"/>
      <c r="S2007" s="3"/>
      <c r="T2007" s="3"/>
      <c r="AI2007" s="3"/>
      <c r="AJ2007" s="3"/>
      <c r="AK2007" s="3"/>
      <c r="AL2007" s="3"/>
      <c r="AM2007" s="3"/>
      <c r="AN2007" s="3"/>
    </row>
    <row r="2008" spans="3:40">
      <c r="C2008" s="3"/>
      <c r="D2008" s="3"/>
      <c r="E2008" s="3"/>
      <c r="S2008" s="3"/>
      <c r="T2008" s="3"/>
      <c r="AI2008" s="3"/>
      <c r="AJ2008" s="3"/>
      <c r="AK2008" s="3"/>
      <c r="AL2008" s="3"/>
      <c r="AM2008" s="3"/>
      <c r="AN2008" s="3"/>
    </row>
    <row r="2009" spans="3:40">
      <c r="C2009" s="3"/>
      <c r="D2009" s="3"/>
      <c r="E2009" s="3"/>
      <c r="S2009" s="3"/>
      <c r="T2009" s="3"/>
      <c r="AI2009" s="3"/>
      <c r="AJ2009" s="3"/>
      <c r="AK2009" s="3"/>
      <c r="AL2009" s="3"/>
      <c r="AM2009" s="3"/>
      <c r="AN2009" s="3"/>
    </row>
    <row r="2010" spans="3:40">
      <c r="C2010" s="3"/>
      <c r="D2010" s="3"/>
      <c r="E2010" s="3"/>
      <c r="S2010" s="3"/>
      <c r="T2010" s="3"/>
      <c r="AI2010" s="3"/>
      <c r="AJ2010" s="3"/>
      <c r="AK2010" s="3"/>
      <c r="AL2010" s="3"/>
      <c r="AM2010" s="3"/>
      <c r="AN2010" s="3"/>
    </row>
    <row r="2011" spans="3:40">
      <c r="C2011" s="3"/>
      <c r="D2011" s="3"/>
      <c r="E2011" s="3"/>
      <c r="S2011" s="3"/>
      <c r="T2011" s="3"/>
      <c r="AI2011" s="3"/>
      <c r="AJ2011" s="3"/>
      <c r="AK2011" s="3"/>
      <c r="AL2011" s="3"/>
      <c r="AM2011" s="3"/>
      <c r="AN2011" s="3"/>
    </row>
    <row r="2012" spans="3:40">
      <c r="C2012" s="3"/>
      <c r="D2012" s="3"/>
      <c r="E2012" s="3"/>
      <c r="S2012" s="3"/>
      <c r="T2012" s="3"/>
      <c r="AI2012" s="3"/>
      <c r="AJ2012" s="3"/>
      <c r="AK2012" s="3"/>
      <c r="AL2012" s="3"/>
      <c r="AM2012" s="3"/>
      <c r="AN2012" s="3"/>
    </row>
    <row r="2013" spans="3:40">
      <c r="C2013" s="3"/>
      <c r="D2013" s="3"/>
      <c r="E2013" s="3"/>
      <c r="S2013" s="3"/>
      <c r="T2013" s="3"/>
      <c r="AI2013" s="3"/>
      <c r="AJ2013" s="3"/>
      <c r="AK2013" s="3"/>
      <c r="AL2013" s="3"/>
      <c r="AM2013" s="3"/>
      <c r="AN2013" s="3"/>
    </row>
    <row r="2014" spans="3:40">
      <c r="C2014" s="3"/>
      <c r="D2014" s="3"/>
      <c r="E2014" s="3"/>
      <c r="S2014" s="3"/>
      <c r="T2014" s="3"/>
      <c r="AI2014" s="3"/>
      <c r="AJ2014" s="3"/>
      <c r="AK2014" s="3"/>
      <c r="AL2014" s="3"/>
      <c r="AM2014" s="3"/>
      <c r="AN2014" s="3"/>
    </row>
    <row r="2015" spans="3:40">
      <c r="C2015" s="3"/>
      <c r="D2015" s="3"/>
      <c r="E2015" s="3"/>
      <c r="S2015" s="3"/>
      <c r="T2015" s="3"/>
      <c r="AI2015" s="3"/>
      <c r="AJ2015" s="3"/>
      <c r="AK2015" s="3"/>
      <c r="AL2015" s="3"/>
      <c r="AM2015" s="3"/>
      <c r="AN2015" s="3"/>
    </row>
    <row r="2016" spans="3:40">
      <c r="C2016" s="3"/>
      <c r="D2016" s="3"/>
      <c r="E2016" s="3"/>
      <c r="S2016" s="3"/>
      <c r="T2016" s="3"/>
      <c r="AI2016" s="3"/>
      <c r="AJ2016" s="3"/>
      <c r="AK2016" s="3"/>
      <c r="AL2016" s="3"/>
      <c r="AM2016" s="3"/>
      <c r="AN2016" s="3"/>
    </row>
    <row r="2017" spans="3:40">
      <c r="C2017" s="3"/>
      <c r="D2017" s="3"/>
      <c r="E2017" s="3"/>
      <c r="S2017" s="3"/>
      <c r="T2017" s="3"/>
      <c r="AI2017" s="3"/>
      <c r="AJ2017" s="3"/>
      <c r="AK2017" s="3"/>
      <c r="AL2017" s="3"/>
      <c r="AM2017" s="3"/>
      <c r="AN2017" s="3"/>
    </row>
    <row r="2018" spans="3:40">
      <c r="C2018" s="3"/>
      <c r="D2018" s="3"/>
      <c r="E2018" s="3"/>
      <c r="S2018" s="3"/>
      <c r="T2018" s="3"/>
      <c r="AI2018" s="3"/>
      <c r="AJ2018" s="3"/>
      <c r="AK2018" s="3"/>
      <c r="AL2018" s="3"/>
      <c r="AM2018" s="3"/>
      <c r="AN2018" s="3"/>
    </row>
    <row r="2019" spans="3:40">
      <c r="C2019" s="3"/>
      <c r="D2019" s="3"/>
      <c r="E2019" s="3"/>
      <c r="S2019" s="3"/>
      <c r="T2019" s="3"/>
      <c r="AI2019" s="3"/>
      <c r="AJ2019" s="3"/>
      <c r="AK2019" s="3"/>
      <c r="AL2019" s="3"/>
      <c r="AM2019" s="3"/>
      <c r="AN2019" s="3"/>
    </row>
    <row r="2020" spans="3:40">
      <c r="C2020" s="3"/>
      <c r="D2020" s="3"/>
      <c r="E2020" s="3"/>
      <c r="S2020" s="3"/>
      <c r="T2020" s="3"/>
      <c r="AI2020" s="3"/>
      <c r="AJ2020" s="3"/>
      <c r="AK2020" s="3"/>
      <c r="AL2020" s="3"/>
      <c r="AM2020" s="3"/>
      <c r="AN2020" s="3"/>
    </row>
    <row r="2021" spans="3:40">
      <c r="C2021" s="3"/>
      <c r="D2021" s="3"/>
      <c r="E2021" s="3"/>
      <c r="S2021" s="3"/>
      <c r="T2021" s="3"/>
      <c r="AI2021" s="3"/>
      <c r="AJ2021" s="3"/>
      <c r="AK2021" s="3"/>
      <c r="AL2021" s="3"/>
      <c r="AM2021" s="3"/>
      <c r="AN2021" s="3"/>
    </row>
    <row r="2022" spans="3:40">
      <c r="C2022" s="3"/>
      <c r="D2022" s="3"/>
      <c r="E2022" s="3"/>
      <c r="S2022" s="3"/>
      <c r="T2022" s="3"/>
      <c r="AI2022" s="3"/>
      <c r="AJ2022" s="3"/>
      <c r="AK2022" s="3"/>
      <c r="AL2022" s="3"/>
      <c r="AM2022" s="3"/>
      <c r="AN2022" s="3"/>
    </row>
    <row r="2023" spans="3:40">
      <c r="C2023" s="3"/>
      <c r="D2023" s="3"/>
      <c r="E2023" s="3"/>
      <c r="S2023" s="3"/>
      <c r="T2023" s="3"/>
      <c r="AI2023" s="3"/>
      <c r="AJ2023" s="3"/>
      <c r="AK2023" s="3"/>
      <c r="AL2023" s="3"/>
      <c r="AM2023" s="3"/>
      <c r="AN2023" s="3"/>
    </row>
    <row r="2024" spans="3:40">
      <c r="C2024" s="3"/>
      <c r="D2024" s="3"/>
      <c r="E2024" s="3"/>
      <c r="S2024" s="3"/>
      <c r="T2024" s="3"/>
      <c r="AI2024" s="3"/>
      <c r="AJ2024" s="3"/>
      <c r="AK2024" s="3"/>
      <c r="AL2024" s="3"/>
      <c r="AM2024" s="3"/>
      <c r="AN2024" s="3"/>
    </row>
    <row r="2025" spans="3:40">
      <c r="C2025" s="3"/>
      <c r="D2025" s="3"/>
      <c r="E2025" s="3"/>
      <c r="S2025" s="3"/>
      <c r="T2025" s="3"/>
      <c r="AI2025" s="3"/>
      <c r="AJ2025" s="3"/>
      <c r="AK2025" s="3"/>
      <c r="AL2025" s="3"/>
      <c r="AM2025" s="3"/>
      <c r="AN2025" s="3"/>
    </row>
    <row r="2026" spans="3:40">
      <c r="C2026" s="3"/>
      <c r="D2026" s="3"/>
      <c r="E2026" s="3"/>
      <c r="S2026" s="3"/>
      <c r="T2026" s="3"/>
      <c r="AI2026" s="3"/>
      <c r="AJ2026" s="3"/>
      <c r="AK2026" s="3"/>
      <c r="AL2026" s="3"/>
      <c r="AM2026" s="3"/>
      <c r="AN2026" s="3"/>
    </row>
    <row r="2027" spans="3:40">
      <c r="C2027" s="3"/>
      <c r="D2027" s="3"/>
      <c r="E2027" s="3"/>
      <c r="S2027" s="3"/>
      <c r="T2027" s="3"/>
      <c r="AI2027" s="3"/>
      <c r="AJ2027" s="3"/>
      <c r="AK2027" s="3"/>
      <c r="AL2027" s="3"/>
      <c r="AM2027" s="3"/>
      <c r="AN2027" s="3"/>
    </row>
    <row r="2028" spans="3:40">
      <c r="C2028" s="3"/>
      <c r="D2028" s="3"/>
      <c r="E2028" s="3"/>
      <c r="S2028" s="3"/>
      <c r="T2028" s="3"/>
      <c r="AI2028" s="3"/>
      <c r="AJ2028" s="3"/>
      <c r="AK2028" s="3"/>
      <c r="AL2028" s="3"/>
      <c r="AM2028" s="3"/>
      <c r="AN2028" s="3"/>
    </row>
    <row r="2029" spans="3:40">
      <c r="C2029" s="3"/>
      <c r="D2029" s="3"/>
      <c r="E2029" s="3"/>
      <c r="S2029" s="3"/>
      <c r="T2029" s="3"/>
      <c r="AI2029" s="3"/>
      <c r="AJ2029" s="3"/>
      <c r="AK2029" s="3"/>
      <c r="AL2029" s="3"/>
      <c r="AM2029" s="3"/>
      <c r="AN2029" s="3"/>
    </row>
    <row r="2030" spans="3:40">
      <c r="C2030" s="3"/>
      <c r="D2030" s="3"/>
      <c r="E2030" s="3"/>
      <c r="S2030" s="3"/>
      <c r="T2030" s="3"/>
      <c r="AI2030" s="3"/>
      <c r="AJ2030" s="3"/>
      <c r="AK2030" s="3"/>
      <c r="AL2030" s="3"/>
      <c r="AM2030" s="3"/>
      <c r="AN2030" s="3"/>
    </row>
    <row r="2031" spans="3:40">
      <c r="C2031" s="3"/>
      <c r="D2031" s="3"/>
      <c r="E2031" s="3"/>
      <c r="S2031" s="3"/>
      <c r="T2031" s="3"/>
      <c r="AI2031" s="3"/>
      <c r="AJ2031" s="3"/>
      <c r="AK2031" s="3"/>
      <c r="AL2031" s="3"/>
      <c r="AM2031" s="3"/>
      <c r="AN2031" s="3"/>
    </row>
    <row r="2032" spans="3:40">
      <c r="C2032" s="3"/>
      <c r="D2032" s="3"/>
      <c r="E2032" s="3"/>
      <c r="S2032" s="3"/>
      <c r="T2032" s="3"/>
      <c r="AI2032" s="3"/>
      <c r="AJ2032" s="3"/>
      <c r="AK2032" s="3"/>
      <c r="AL2032" s="3"/>
      <c r="AM2032" s="3"/>
      <c r="AN2032" s="3"/>
    </row>
    <row r="2033" spans="3:40">
      <c r="C2033" s="3"/>
      <c r="D2033" s="3"/>
      <c r="E2033" s="3"/>
      <c r="S2033" s="3"/>
      <c r="T2033" s="3"/>
      <c r="AI2033" s="3"/>
      <c r="AJ2033" s="3"/>
      <c r="AK2033" s="3"/>
      <c r="AL2033" s="3"/>
      <c r="AM2033" s="3"/>
      <c r="AN2033" s="3"/>
    </row>
    <row r="2034" spans="3:40">
      <c r="C2034" s="3"/>
      <c r="D2034" s="3"/>
      <c r="E2034" s="3"/>
      <c r="S2034" s="3"/>
      <c r="T2034" s="3"/>
      <c r="AI2034" s="3"/>
      <c r="AJ2034" s="3"/>
      <c r="AK2034" s="3"/>
      <c r="AL2034" s="3"/>
      <c r="AM2034" s="3"/>
      <c r="AN2034" s="3"/>
    </row>
    <row r="2035" spans="3:40">
      <c r="C2035" s="3"/>
      <c r="D2035" s="3"/>
      <c r="E2035" s="3"/>
      <c r="S2035" s="3"/>
      <c r="T2035" s="3"/>
      <c r="AI2035" s="3"/>
      <c r="AJ2035" s="3"/>
      <c r="AK2035" s="3"/>
      <c r="AL2035" s="3"/>
      <c r="AM2035" s="3"/>
      <c r="AN2035" s="3"/>
    </row>
    <row r="2036" spans="3:40">
      <c r="C2036" s="3"/>
      <c r="D2036" s="3"/>
      <c r="E2036" s="3"/>
      <c r="S2036" s="3"/>
      <c r="T2036" s="3"/>
      <c r="AI2036" s="3"/>
      <c r="AJ2036" s="3"/>
      <c r="AK2036" s="3"/>
      <c r="AL2036" s="3"/>
      <c r="AM2036" s="3"/>
      <c r="AN2036" s="3"/>
    </row>
    <row r="2037" spans="3:40">
      <c r="C2037" s="3"/>
      <c r="D2037" s="3"/>
      <c r="E2037" s="3"/>
      <c r="S2037" s="3"/>
      <c r="T2037" s="3"/>
      <c r="AI2037" s="3"/>
      <c r="AJ2037" s="3"/>
      <c r="AK2037" s="3"/>
      <c r="AL2037" s="3"/>
      <c r="AM2037" s="3"/>
      <c r="AN2037" s="3"/>
    </row>
    <row r="2038" spans="3:40">
      <c r="C2038" s="3"/>
      <c r="D2038" s="3"/>
      <c r="E2038" s="3"/>
      <c r="S2038" s="3"/>
      <c r="T2038" s="3"/>
      <c r="AI2038" s="3"/>
      <c r="AJ2038" s="3"/>
      <c r="AK2038" s="3"/>
      <c r="AL2038" s="3"/>
      <c r="AM2038" s="3"/>
      <c r="AN2038" s="3"/>
    </row>
    <row r="2039" spans="3:40">
      <c r="C2039" s="3"/>
      <c r="D2039" s="3"/>
      <c r="E2039" s="3"/>
      <c r="S2039" s="3"/>
      <c r="T2039" s="3"/>
      <c r="AI2039" s="3"/>
      <c r="AJ2039" s="3"/>
      <c r="AK2039" s="3"/>
      <c r="AL2039" s="3"/>
      <c r="AM2039" s="3"/>
      <c r="AN2039" s="3"/>
    </row>
    <row r="2040" spans="3:40">
      <c r="C2040" s="3"/>
      <c r="D2040" s="3"/>
      <c r="E2040" s="3"/>
      <c r="S2040" s="3"/>
      <c r="T2040" s="3"/>
      <c r="AI2040" s="3"/>
      <c r="AJ2040" s="3"/>
      <c r="AK2040" s="3"/>
      <c r="AL2040" s="3"/>
      <c r="AM2040" s="3"/>
      <c r="AN2040" s="3"/>
    </row>
    <row r="2041" spans="3:40">
      <c r="C2041" s="3"/>
      <c r="D2041" s="3"/>
      <c r="E2041" s="3"/>
      <c r="S2041" s="3"/>
      <c r="T2041" s="3"/>
      <c r="AI2041" s="3"/>
      <c r="AJ2041" s="3"/>
      <c r="AK2041" s="3"/>
      <c r="AL2041" s="3"/>
      <c r="AM2041" s="3"/>
      <c r="AN2041" s="3"/>
    </row>
    <row r="2042" spans="3:40">
      <c r="C2042" s="3"/>
      <c r="D2042" s="3"/>
      <c r="E2042" s="3"/>
      <c r="S2042" s="3"/>
      <c r="T2042" s="3"/>
      <c r="AI2042" s="3"/>
      <c r="AJ2042" s="3"/>
      <c r="AK2042" s="3"/>
      <c r="AL2042" s="3"/>
      <c r="AM2042" s="3"/>
      <c r="AN2042" s="3"/>
    </row>
    <row r="2043" spans="3:40">
      <c r="C2043" s="3"/>
      <c r="D2043" s="3"/>
      <c r="E2043" s="3"/>
      <c r="S2043" s="3"/>
      <c r="T2043" s="3"/>
      <c r="AI2043" s="3"/>
      <c r="AJ2043" s="3"/>
      <c r="AK2043" s="3"/>
      <c r="AL2043" s="3"/>
      <c r="AM2043" s="3"/>
      <c r="AN2043" s="3"/>
    </row>
    <row r="2044" spans="3:40">
      <c r="C2044" s="3"/>
      <c r="D2044" s="3"/>
      <c r="E2044" s="3"/>
      <c r="S2044" s="3"/>
      <c r="T2044" s="3"/>
      <c r="AI2044" s="3"/>
      <c r="AJ2044" s="3"/>
      <c r="AK2044" s="3"/>
      <c r="AL2044" s="3"/>
      <c r="AM2044" s="3"/>
      <c r="AN2044" s="3"/>
    </row>
    <row r="2045" spans="3:40">
      <c r="C2045" s="3"/>
      <c r="D2045" s="3"/>
      <c r="E2045" s="3"/>
      <c r="S2045" s="3"/>
      <c r="T2045" s="3"/>
      <c r="AI2045" s="3"/>
      <c r="AJ2045" s="3"/>
      <c r="AK2045" s="3"/>
      <c r="AL2045" s="3"/>
      <c r="AM2045" s="3"/>
      <c r="AN2045" s="3"/>
    </row>
    <row r="2046" spans="3:40">
      <c r="C2046" s="3"/>
      <c r="D2046" s="3"/>
      <c r="E2046" s="3"/>
      <c r="S2046" s="3"/>
      <c r="T2046" s="3"/>
      <c r="AI2046" s="3"/>
      <c r="AJ2046" s="3"/>
      <c r="AK2046" s="3"/>
      <c r="AL2046" s="3"/>
      <c r="AM2046" s="3"/>
      <c r="AN2046" s="3"/>
    </row>
    <row r="2047" spans="3:40">
      <c r="C2047" s="3"/>
      <c r="D2047" s="3"/>
      <c r="E2047" s="3"/>
      <c r="S2047" s="3"/>
      <c r="T2047" s="3"/>
      <c r="AI2047" s="3"/>
      <c r="AJ2047" s="3"/>
      <c r="AK2047" s="3"/>
      <c r="AL2047" s="3"/>
      <c r="AM2047" s="3"/>
      <c r="AN2047" s="3"/>
    </row>
    <row r="2048" spans="3:40">
      <c r="C2048" s="3"/>
      <c r="D2048" s="3"/>
      <c r="E2048" s="3"/>
      <c r="S2048" s="3"/>
      <c r="T2048" s="3"/>
      <c r="AI2048" s="3"/>
      <c r="AJ2048" s="3"/>
      <c r="AK2048" s="3"/>
      <c r="AL2048" s="3"/>
      <c r="AM2048" s="3"/>
      <c r="AN2048" s="3"/>
    </row>
    <row r="2049" spans="3:40">
      <c r="C2049" s="3"/>
      <c r="D2049" s="3"/>
      <c r="E2049" s="3"/>
      <c r="S2049" s="3"/>
      <c r="T2049" s="3"/>
      <c r="AI2049" s="3"/>
      <c r="AJ2049" s="3"/>
      <c r="AK2049" s="3"/>
      <c r="AL2049" s="3"/>
      <c r="AM2049" s="3"/>
      <c r="AN2049" s="3"/>
    </row>
    <row r="2050" spans="3:40">
      <c r="C2050" s="3"/>
      <c r="D2050" s="3"/>
      <c r="E2050" s="3"/>
      <c r="S2050" s="3"/>
      <c r="T2050" s="3"/>
      <c r="AI2050" s="3"/>
      <c r="AJ2050" s="3"/>
      <c r="AK2050" s="3"/>
      <c r="AL2050" s="3"/>
      <c r="AM2050" s="3"/>
      <c r="AN2050" s="3"/>
    </row>
    <row r="2051" spans="3:40">
      <c r="C2051" s="3"/>
      <c r="D2051" s="3"/>
      <c r="E2051" s="3"/>
      <c r="S2051" s="3"/>
      <c r="T2051" s="3"/>
      <c r="AI2051" s="3"/>
      <c r="AJ2051" s="3"/>
      <c r="AK2051" s="3"/>
      <c r="AL2051" s="3"/>
      <c r="AM2051" s="3"/>
      <c r="AN2051" s="3"/>
    </row>
    <row r="2052" spans="3:40">
      <c r="C2052" s="3"/>
      <c r="D2052" s="3"/>
      <c r="E2052" s="3"/>
      <c r="S2052" s="3"/>
      <c r="T2052" s="3"/>
      <c r="AI2052" s="3"/>
      <c r="AJ2052" s="3"/>
      <c r="AK2052" s="3"/>
      <c r="AL2052" s="3"/>
      <c r="AM2052" s="3"/>
      <c r="AN2052" s="3"/>
    </row>
    <row r="2053" spans="3:40">
      <c r="C2053" s="3"/>
      <c r="D2053" s="3"/>
      <c r="E2053" s="3"/>
      <c r="S2053" s="3"/>
      <c r="T2053" s="3"/>
      <c r="AI2053" s="3"/>
      <c r="AJ2053" s="3"/>
      <c r="AK2053" s="3"/>
      <c r="AL2053" s="3"/>
      <c r="AM2053" s="3"/>
      <c r="AN2053" s="3"/>
    </row>
    <row r="2054" spans="3:40">
      <c r="C2054" s="3"/>
      <c r="D2054" s="3"/>
      <c r="E2054" s="3"/>
      <c r="S2054" s="3"/>
      <c r="T2054" s="3"/>
      <c r="AI2054" s="3"/>
      <c r="AJ2054" s="3"/>
      <c r="AK2054" s="3"/>
      <c r="AL2054" s="3"/>
      <c r="AM2054" s="3"/>
      <c r="AN2054" s="3"/>
    </row>
    <row r="2055" spans="3:40">
      <c r="C2055" s="3"/>
      <c r="D2055" s="3"/>
      <c r="E2055" s="3"/>
      <c r="S2055" s="3"/>
      <c r="T2055" s="3"/>
      <c r="AI2055" s="3"/>
      <c r="AJ2055" s="3"/>
      <c r="AK2055" s="3"/>
      <c r="AL2055" s="3"/>
      <c r="AM2055" s="3"/>
      <c r="AN2055" s="3"/>
    </row>
    <row r="2056" spans="3:40">
      <c r="C2056" s="3"/>
      <c r="D2056" s="3"/>
      <c r="E2056" s="3"/>
      <c r="S2056" s="3"/>
      <c r="T2056" s="3"/>
      <c r="AI2056" s="3"/>
      <c r="AJ2056" s="3"/>
      <c r="AK2056" s="3"/>
      <c r="AL2056" s="3"/>
      <c r="AM2056" s="3"/>
      <c r="AN2056" s="3"/>
    </row>
    <row r="2057" spans="3:40">
      <c r="C2057" s="3"/>
      <c r="D2057" s="3"/>
      <c r="E2057" s="3"/>
      <c r="S2057" s="3"/>
      <c r="T2057" s="3"/>
      <c r="AI2057" s="3"/>
      <c r="AJ2057" s="3"/>
      <c r="AK2057" s="3"/>
      <c r="AL2057" s="3"/>
      <c r="AM2057" s="3"/>
      <c r="AN2057" s="3"/>
    </row>
    <row r="2058" spans="3:40">
      <c r="C2058" s="3"/>
      <c r="D2058" s="3"/>
      <c r="E2058" s="3"/>
      <c r="S2058" s="3"/>
      <c r="T2058" s="3"/>
      <c r="AI2058" s="3"/>
      <c r="AJ2058" s="3"/>
      <c r="AK2058" s="3"/>
      <c r="AL2058" s="3"/>
      <c r="AM2058" s="3"/>
      <c r="AN2058" s="3"/>
    </row>
    <row r="2059" spans="3:40">
      <c r="C2059" s="3"/>
      <c r="D2059" s="3"/>
      <c r="E2059" s="3"/>
      <c r="S2059" s="3"/>
      <c r="T2059" s="3"/>
      <c r="AI2059" s="3"/>
      <c r="AJ2059" s="3"/>
      <c r="AK2059" s="3"/>
      <c r="AL2059" s="3"/>
      <c r="AM2059" s="3"/>
      <c r="AN2059" s="3"/>
    </row>
    <row r="2060" spans="3:40">
      <c r="C2060" s="3"/>
      <c r="D2060" s="3"/>
      <c r="E2060" s="3"/>
      <c r="S2060" s="3"/>
      <c r="T2060" s="3"/>
      <c r="AI2060" s="3"/>
      <c r="AJ2060" s="3"/>
      <c r="AK2060" s="3"/>
      <c r="AL2060" s="3"/>
      <c r="AM2060" s="3"/>
      <c r="AN2060" s="3"/>
    </row>
    <row r="2061" spans="3:40">
      <c r="C2061" s="3"/>
      <c r="D2061" s="3"/>
      <c r="E2061" s="3"/>
      <c r="S2061" s="3"/>
      <c r="T2061" s="3"/>
      <c r="AI2061" s="3"/>
      <c r="AJ2061" s="3"/>
      <c r="AK2061" s="3"/>
      <c r="AL2061" s="3"/>
      <c r="AM2061" s="3"/>
      <c r="AN2061" s="3"/>
    </row>
    <row r="2062" spans="3:40">
      <c r="C2062" s="3"/>
      <c r="D2062" s="3"/>
      <c r="E2062" s="3"/>
      <c r="S2062" s="3"/>
      <c r="T2062" s="3"/>
      <c r="AI2062" s="3"/>
      <c r="AJ2062" s="3"/>
      <c r="AK2062" s="3"/>
      <c r="AL2062" s="3"/>
      <c r="AM2062" s="3"/>
      <c r="AN2062" s="3"/>
    </row>
    <row r="2063" spans="3:40">
      <c r="C2063" s="3"/>
      <c r="D2063" s="3"/>
      <c r="E2063" s="3"/>
      <c r="S2063" s="3"/>
      <c r="T2063" s="3"/>
      <c r="AI2063" s="3"/>
      <c r="AJ2063" s="3"/>
      <c r="AK2063" s="3"/>
      <c r="AL2063" s="3"/>
      <c r="AM2063" s="3"/>
      <c r="AN2063" s="3"/>
    </row>
    <row r="2064" spans="3:40">
      <c r="C2064" s="3"/>
      <c r="D2064" s="3"/>
      <c r="E2064" s="3"/>
      <c r="S2064" s="3"/>
      <c r="T2064" s="3"/>
      <c r="AI2064" s="3"/>
      <c r="AJ2064" s="3"/>
      <c r="AK2064" s="3"/>
      <c r="AL2064" s="3"/>
      <c r="AM2064" s="3"/>
      <c r="AN2064" s="3"/>
    </row>
    <row r="2065" spans="3:40">
      <c r="C2065" s="3"/>
      <c r="D2065" s="3"/>
      <c r="E2065" s="3"/>
      <c r="S2065" s="3"/>
      <c r="T2065" s="3"/>
      <c r="AI2065" s="3"/>
      <c r="AJ2065" s="3"/>
      <c r="AK2065" s="3"/>
      <c r="AL2065" s="3"/>
      <c r="AM2065" s="3"/>
      <c r="AN2065" s="3"/>
    </row>
    <row r="2066" spans="3:40">
      <c r="C2066" s="3"/>
      <c r="D2066" s="3"/>
      <c r="E2066" s="3"/>
      <c r="S2066" s="3"/>
      <c r="T2066" s="3"/>
      <c r="AI2066" s="3"/>
      <c r="AJ2066" s="3"/>
      <c r="AK2066" s="3"/>
      <c r="AL2066" s="3"/>
      <c r="AM2066" s="3"/>
      <c r="AN2066" s="3"/>
    </row>
    <row r="2067" spans="3:40">
      <c r="C2067" s="3"/>
      <c r="D2067" s="3"/>
      <c r="E2067" s="3"/>
      <c r="S2067" s="3"/>
      <c r="T2067" s="3"/>
      <c r="AI2067" s="3"/>
      <c r="AJ2067" s="3"/>
      <c r="AK2067" s="3"/>
      <c r="AL2067" s="3"/>
      <c r="AM2067" s="3"/>
      <c r="AN2067" s="3"/>
    </row>
    <row r="2068" spans="3:40">
      <c r="C2068" s="3"/>
      <c r="D2068" s="3"/>
      <c r="E2068" s="3"/>
      <c r="S2068" s="3"/>
      <c r="T2068" s="3"/>
      <c r="AI2068" s="3"/>
      <c r="AJ2068" s="3"/>
      <c r="AK2068" s="3"/>
      <c r="AL2068" s="3"/>
      <c r="AM2068" s="3"/>
      <c r="AN2068" s="3"/>
    </row>
    <row r="2069" spans="3:40">
      <c r="C2069" s="3"/>
      <c r="D2069" s="3"/>
      <c r="E2069" s="3"/>
      <c r="S2069" s="3"/>
      <c r="T2069" s="3"/>
      <c r="AI2069" s="3"/>
      <c r="AJ2069" s="3"/>
      <c r="AK2069" s="3"/>
      <c r="AL2069" s="3"/>
      <c r="AM2069" s="3"/>
      <c r="AN2069" s="3"/>
    </row>
    <row r="2070" spans="3:40">
      <c r="C2070" s="3"/>
      <c r="D2070" s="3"/>
      <c r="E2070" s="3"/>
      <c r="S2070" s="3"/>
      <c r="T2070" s="3"/>
      <c r="AI2070" s="3"/>
      <c r="AJ2070" s="3"/>
      <c r="AK2070" s="3"/>
      <c r="AL2070" s="3"/>
      <c r="AM2070" s="3"/>
      <c r="AN2070" s="3"/>
    </row>
    <row r="2071" spans="3:40">
      <c r="C2071" s="3"/>
      <c r="D2071" s="3"/>
      <c r="E2071" s="3"/>
      <c r="S2071" s="3"/>
      <c r="T2071" s="3"/>
      <c r="AI2071" s="3"/>
      <c r="AJ2071" s="3"/>
      <c r="AK2071" s="3"/>
      <c r="AL2071" s="3"/>
      <c r="AM2071" s="3"/>
      <c r="AN2071" s="3"/>
    </row>
    <row r="2072" spans="3:40">
      <c r="C2072" s="3"/>
      <c r="D2072" s="3"/>
      <c r="E2072" s="3"/>
      <c r="S2072" s="3"/>
      <c r="T2072" s="3"/>
      <c r="AI2072" s="3"/>
      <c r="AJ2072" s="3"/>
      <c r="AK2072" s="3"/>
      <c r="AL2072" s="3"/>
      <c r="AM2072" s="3"/>
      <c r="AN2072" s="3"/>
    </row>
    <row r="2073" spans="3:40">
      <c r="C2073" s="3"/>
      <c r="D2073" s="3"/>
      <c r="E2073" s="3"/>
      <c r="S2073" s="3"/>
      <c r="T2073" s="3"/>
      <c r="AI2073" s="3"/>
      <c r="AJ2073" s="3"/>
      <c r="AK2073" s="3"/>
      <c r="AL2073" s="3"/>
      <c r="AM2073" s="3"/>
      <c r="AN2073" s="3"/>
    </row>
    <row r="2074" spans="3:40">
      <c r="C2074" s="3"/>
      <c r="D2074" s="3"/>
      <c r="E2074" s="3"/>
      <c r="S2074" s="3"/>
      <c r="T2074" s="3"/>
      <c r="AI2074" s="3"/>
      <c r="AJ2074" s="3"/>
      <c r="AK2074" s="3"/>
      <c r="AL2074" s="3"/>
      <c r="AM2074" s="3"/>
      <c r="AN2074" s="3"/>
    </row>
    <row r="2075" spans="3:40">
      <c r="C2075" s="3"/>
      <c r="D2075" s="3"/>
      <c r="E2075" s="3"/>
      <c r="S2075" s="3"/>
      <c r="T2075" s="3"/>
      <c r="AI2075" s="3"/>
      <c r="AJ2075" s="3"/>
      <c r="AK2075" s="3"/>
      <c r="AL2075" s="3"/>
      <c r="AM2075" s="3"/>
      <c r="AN2075" s="3"/>
    </row>
    <row r="2076" spans="3:40">
      <c r="C2076" s="3"/>
      <c r="D2076" s="3"/>
      <c r="E2076" s="3"/>
      <c r="S2076" s="3"/>
      <c r="T2076" s="3"/>
      <c r="AI2076" s="3"/>
      <c r="AJ2076" s="3"/>
      <c r="AK2076" s="3"/>
      <c r="AL2076" s="3"/>
      <c r="AM2076" s="3"/>
      <c r="AN2076" s="3"/>
    </row>
    <row r="2077" spans="3:40">
      <c r="C2077" s="3"/>
      <c r="D2077" s="3"/>
      <c r="E2077" s="3"/>
      <c r="S2077" s="3"/>
      <c r="T2077" s="3"/>
      <c r="AI2077" s="3"/>
      <c r="AJ2077" s="3"/>
      <c r="AK2077" s="3"/>
      <c r="AL2077" s="3"/>
      <c r="AM2077" s="3"/>
      <c r="AN2077" s="3"/>
    </row>
    <row r="2078" spans="3:40">
      <c r="C2078" s="3"/>
      <c r="D2078" s="3"/>
      <c r="E2078" s="3"/>
      <c r="S2078" s="3"/>
      <c r="T2078" s="3"/>
      <c r="AI2078" s="3"/>
      <c r="AJ2078" s="3"/>
      <c r="AK2078" s="3"/>
      <c r="AL2078" s="3"/>
      <c r="AM2078" s="3"/>
      <c r="AN2078" s="3"/>
    </row>
    <row r="2079" spans="3:40">
      <c r="C2079" s="3"/>
      <c r="D2079" s="3"/>
      <c r="E2079" s="3"/>
      <c r="S2079" s="3"/>
      <c r="T2079" s="3"/>
      <c r="AI2079" s="3"/>
      <c r="AJ2079" s="3"/>
      <c r="AK2079" s="3"/>
      <c r="AL2079" s="3"/>
      <c r="AM2079" s="3"/>
      <c r="AN2079" s="3"/>
    </row>
    <row r="2080" spans="3:40">
      <c r="C2080" s="3"/>
      <c r="D2080" s="3"/>
      <c r="E2080" s="3"/>
      <c r="S2080" s="3"/>
      <c r="T2080" s="3"/>
      <c r="AI2080" s="3"/>
      <c r="AJ2080" s="3"/>
      <c r="AK2080" s="3"/>
      <c r="AL2080" s="3"/>
      <c r="AM2080" s="3"/>
      <c r="AN2080" s="3"/>
    </row>
    <row r="2081" spans="3:40">
      <c r="C2081" s="3"/>
      <c r="D2081" s="3"/>
      <c r="E2081" s="3"/>
      <c r="S2081" s="3"/>
      <c r="T2081" s="3"/>
      <c r="AI2081" s="3"/>
      <c r="AJ2081" s="3"/>
      <c r="AK2081" s="3"/>
      <c r="AL2081" s="3"/>
      <c r="AM2081" s="3"/>
      <c r="AN2081" s="3"/>
    </row>
    <row r="2082" spans="3:40">
      <c r="C2082" s="3"/>
      <c r="D2082" s="3"/>
      <c r="E2082" s="3"/>
      <c r="S2082" s="3"/>
      <c r="T2082" s="3"/>
      <c r="AI2082" s="3"/>
      <c r="AJ2082" s="3"/>
      <c r="AK2082" s="3"/>
      <c r="AL2082" s="3"/>
      <c r="AM2082" s="3"/>
      <c r="AN2082" s="3"/>
    </row>
    <row r="2083" spans="3:40">
      <c r="C2083" s="3"/>
      <c r="D2083" s="3"/>
      <c r="E2083" s="3"/>
      <c r="S2083" s="3"/>
      <c r="T2083" s="3"/>
      <c r="AI2083" s="3"/>
      <c r="AJ2083" s="3"/>
      <c r="AK2083" s="3"/>
      <c r="AL2083" s="3"/>
      <c r="AM2083" s="3"/>
      <c r="AN2083" s="3"/>
    </row>
    <row r="2084" spans="3:40">
      <c r="C2084" s="3"/>
      <c r="D2084" s="3"/>
      <c r="E2084" s="3"/>
      <c r="S2084" s="3"/>
      <c r="T2084" s="3"/>
      <c r="AI2084" s="3"/>
      <c r="AJ2084" s="3"/>
      <c r="AK2084" s="3"/>
      <c r="AL2084" s="3"/>
      <c r="AM2084" s="3"/>
      <c r="AN2084" s="3"/>
    </row>
    <row r="2085" spans="3:40">
      <c r="C2085" s="3"/>
      <c r="D2085" s="3"/>
      <c r="E2085" s="3"/>
      <c r="S2085" s="3"/>
      <c r="T2085" s="3"/>
      <c r="AI2085" s="3"/>
      <c r="AJ2085" s="3"/>
      <c r="AK2085" s="3"/>
      <c r="AL2085" s="3"/>
      <c r="AM2085" s="3"/>
      <c r="AN2085" s="3"/>
    </row>
    <row r="2086" spans="3:40">
      <c r="C2086" s="3"/>
      <c r="D2086" s="3"/>
      <c r="E2086" s="3"/>
      <c r="S2086" s="3"/>
      <c r="T2086" s="3"/>
      <c r="AI2086" s="3"/>
      <c r="AJ2086" s="3"/>
      <c r="AK2086" s="3"/>
      <c r="AL2086" s="3"/>
      <c r="AM2086" s="3"/>
      <c r="AN2086" s="3"/>
    </row>
    <row r="2087" spans="3:40">
      <c r="C2087" s="3"/>
      <c r="D2087" s="3"/>
      <c r="E2087" s="3"/>
      <c r="S2087" s="3"/>
      <c r="T2087" s="3"/>
      <c r="AI2087" s="3"/>
      <c r="AJ2087" s="3"/>
      <c r="AK2087" s="3"/>
      <c r="AL2087" s="3"/>
      <c r="AM2087" s="3"/>
      <c r="AN2087" s="3"/>
    </row>
    <row r="2088" spans="3:40">
      <c r="C2088" s="3"/>
      <c r="D2088" s="3"/>
      <c r="E2088" s="3"/>
      <c r="S2088" s="3"/>
      <c r="T2088" s="3"/>
      <c r="AI2088" s="3"/>
      <c r="AJ2088" s="3"/>
      <c r="AK2088" s="3"/>
      <c r="AL2088" s="3"/>
      <c r="AM2088" s="3"/>
      <c r="AN2088" s="3"/>
    </row>
    <row r="2089" spans="3:40">
      <c r="C2089" s="3"/>
      <c r="D2089" s="3"/>
      <c r="E2089" s="3"/>
      <c r="S2089" s="3"/>
      <c r="T2089" s="3"/>
      <c r="AI2089" s="3"/>
      <c r="AJ2089" s="3"/>
      <c r="AK2089" s="3"/>
      <c r="AL2089" s="3"/>
      <c r="AM2089" s="3"/>
      <c r="AN2089" s="3"/>
    </row>
    <row r="2090" spans="3:40">
      <c r="C2090" s="3"/>
      <c r="D2090" s="3"/>
      <c r="E2090" s="3"/>
      <c r="S2090" s="3"/>
      <c r="T2090" s="3"/>
      <c r="AI2090" s="3"/>
      <c r="AJ2090" s="3"/>
      <c r="AK2090" s="3"/>
      <c r="AL2090" s="3"/>
      <c r="AM2090" s="3"/>
      <c r="AN2090" s="3"/>
    </row>
    <row r="2091" spans="3:40">
      <c r="C2091" s="3"/>
      <c r="D2091" s="3"/>
      <c r="E2091" s="3"/>
      <c r="S2091" s="3"/>
      <c r="T2091" s="3"/>
      <c r="AI2091" s="3"/>
      <c r="AJ2091" s="3"/>
      <c r="AK2091" s="3"/>
      <c r="AL2091" s="3"/>
      <c r="AM2091" s="3"/>
      <c r="AN2091" s="3"/>
    </row>
    <row r="2092" spans="3:40">
      <c r="C2092" s="3"/>
      <c r="D2092" s="3"/>
      <c r="E2092" s="3"/>
      <c r="S2092" s="3"/>
      <c r="T2092" s="3"/>
      <c r="AI2092" s="3"/>
      <c r="AJ2092" s="3"/>
      <c r="AK2092" s="3"/>
      <c r="AL2092" s="3"/>
      <c r="AM2092" s="3"/>
      <c r="AN2092" s="3"/>
    </row>
    <row r="2093" spans="3:40">
      <c r="C2093" s="3"/>
      <c r="D2093" s="3"/>
      <c r="E2093" s="3"/>
      <c r="S2093" s="3"/>
      <c r="T2093" s="3"/>
      <c r="AI2093" s="3"/>
      <c r="AJ2093" s="3"/>
      <c r="AK2093" s="3"/>
      <c r="AL2093" s="3"/>
      <c r="AM2093" s="3"/>
      <c r="AN2093" s="3"/>
    </row>
    <row r="2094" spans="3:40">
      <c r="C2094" s="3"/>
      <c r="D2094" s="3"/>
      <c r="E2094" s="3"/>
      <c r="S2094" s="3"/>
      <c r="T2094" s="3"/>
      <c r="AI2094" s="3"/>
      <c r="AJ2094" s="3"/>
      <c r="AK2094" s="3"/>
      <c r="AL2094" s="3"/>
      <c r="AM2094" s="3"/>
      <c r="AN2094" s="3"/>
    </row>
    <row r="2095" spans="3:40">
      <c r="C2095" s="3"/>
      <c r="D2095" s="3"/>
      <c r="E2095" s="3"/>
      <c r="S2095" s="3"/>
      <c r="T2095" s="3"/>
      <c r="AI2095" s="3"/>
      <c r="AJ2095" s="3"/>
      <c r="AK2095" s="3"/>
      <c r="AL2095" s="3"/>
      <c r="AM2095" s="3"/>
      <c r="AN2095" s="3"/>
    </row>
    <row r="2096" spans="3:40">
      <c r="C2096" s="3"/>
      <c r="D2096" s="3"/>
      <c r="E2096" s="3"/>
      <c r="S2096" s="3"/>
      <c r="T2096" s="3"/>
      <c r="AI2096" s="3"/>
      <c r="AJ2096" s="3"/>
      <c r="AK2096" s="3"/>
      <c r="AL2096" s="3"/>
      <c r="AM2096" s="3"/>
      <c r="AN2096" s="3"/>
    </row>
    <row r="2097" spans="3:40">
      <c r="C2097" s="3"/>
      <c r="D2097" s="3"/>
      <c r="E2097" s="3"/>
      <c r="S2097" s="3"/>
      <c r="T2097" s="3"/>
      <c r="AI2097" s="3"/>
      <c r="AJ2097" s="3"/>
      <c r="AK2097" s="3"/>
      <c r="AL2097" s="3"/>
      <c r="AM2097" s="3"/>
      <c r="AN2097" s="3"/>
    </row>
    <row r="2098" spans="3:40">
      <c r="C2098" s="3"/>
      <c r="D2098" s="3"/>
      <c r="E2098" s="3"/>
      <c r="S2098" s="3"/>
      <c r="T2098" s="3"/>
      <c r="AI2098" s="3"/>
      <c r="AJ2098" s="3"/>
      <c r="AK2098" s="3"/>
      <c r="AL2098" s="3"/>
      <c r="AM2098" s="3"/>
      <c r="AN2098" s="3"/>
    </row>
    <row r="2099" spans="3:40">
      <c r="C2099" s="3"/>
      <c r="D2099" s="3"/>
      <c r="E2099" s="3"/>
      <c r="S2099" s="3"/>
      <c r="T2099" s="3"/>
      <c r="AI2099" s="3"/>
      <c r="AJ2099" s="3"/>
      <c r="AK2099" s="3"/>
      <c r="AL2099" s="3"/>
      <c r="AM2099" s="3"/>
      <c r="AN2099" s="3"/>
    </row>
    <row r="2100" spans="3:40">
      <c r="C2100" s="3"/>
      <c r="D2100" s="3"/>
      <c r="E2100" s="3"/>
      <c r="S2100" s="3"/>
      <c r="T2100" s="3"/>
      <c r="AI2100" s="3"/>
      <c r="AJ2100" s="3"/>
      <c r="AK2100" s="3"/>
      <c r="AL2100" s="3"/>
      <c r="AM2100" s="3"/>
      <c r="AN2100" s="3"/>
    </row>
    <row r="2101" spans="3:40">
      <c r="C2101" s="3"/>
      <c r="D2101" s="3"/>
      <c r="E2101" s="3"/>
      <c r="S2101" s="3"/>
      <c r="T2101" s="3"/>
      <c r="AI2101" s="3"/>
      <c r="AJ2101" s="3"/>
      <c r="AK2101" s="3"/>
      <c r="AL2101" s="3"/>
      <c r="AM2101" s="3"/>
      <c r="AN2101" s="3"/>
    </row>
    <row r="2102" spans="3:40">
      <c r="C2102" s="3"/>
      <c r="D2102" s="3"/>
      <c r="E2102" s="3"/>
      <c r="S2102" s="3"/>
      <c r="T2102" s="3"/>
      <c r="AI2102" s="3"/>
      <c r="AJ2102" s="3"/>
      <c r="AK2102" s="3"/>
      <c r="AL2102" s="3"/>
      <c r="AM2102" s="3"/>
      <c r="AN2102" s="3"/>
    </row>
    <row r="2103" spans="3:40">
      <c r="C2103" s="3"/>
      <c r="D2103" s="3"/>
      <c r="E2103" s="3"/>
      <c r="S2103" s="3"/>
      <c r="T2103" s="3"/>
      <c r="AI2103" s="3"/>
      <c r="AJ2103" s="3"/>
      <c r="AK2103" s="3"/>
      <c r="AL2103" s="3"/>
      <c r="AM2103" s="3"/>
      <c r="AN2103" s="3"/>
    </row>
    <row r="2104" spans="3:40">
      <c r="C2104" s="3"/>
      <c r="D2104" s="3"/>
      <c r="E2104" s="3"/>
      <c r="S2104" s="3"/>
      <c r="T2104" s="3"/>
      <c r="AI2104" s="3"/>
      <c r="AJ2104" s="3"/>
      <c r="AK2104" s="3"/>
      <c r="AL2104" s="3"/>
      <c r="AM2104" s="3"/>
      <c r="AN2104" s="3"/>
    </row>
    <row r="2105" spans="3:40">
      <c r="C2105" s="3"/>
      <c r="D2105" s="3"/>
      <c r="E2105" s="3"/>
      <c r="S2105" s="3"/>
      <c r="T2105" s="3"/>
      <c r="AI2105" s="3"/>
      <c r="AJ2105" s="3"/>
      <c r="AK2105" s="3"/>
      <c r="AL2105" s="3"/>
      <c r="AM2105" s="3"/>
      <c r="AN2105" s="3"/>
    </row>
    <row r="2106" spans="3:40">
      <c r="C2106" s="3"/>
      <c r="D2106" s="3"/>
      <c r="E2106" s="3"/>
      <c r="S2106" s="3"/>
      <c r="T2106" s="3"/>
      <c r="AI2106" s="3"/>
      <c r="AJ2106" s="3"/>
      <c r="AK2106" s="3"/>
      <c r="AL2106" s="3"/>
      <c r="AM2106" s="3"/>
      <c r="AN2106" s="3"/>
    </row>
    <row r="2107" spans="3:40">
      <c r="C2107" s="3"/>
      <c r="D2107" s="3"/>
      <c r="E2107" s="3"/>
      <c r="S2107" s="3"/>
      <c r="T2107" s="3"/>
      <c r="AI2107" s="3"/>
      <c r="AJ2107" s="3"/>
      <c r="AK2107" s="3"/>
      <c r="AL2107" s="3"/>
      <c r="AM2107" s="3"/>
      <c r="AN2107" s="3"/>
    </row>
    <row r="2108" spans="3:40">
      <c r="C2108" s="3"/>
      <c r="D2108" s="3"/>
      <c r="E2108" s="3"/>
      <c r="S2108" s="3"/>
      <c r="T2108" s="3"/>
      <c r="AI2108" s="3"/>
      <c r="AJ2108" s="3"/>
      <c r="AK2108" s="3"/>
      <c r="AL2108" s="3"/>
      <c r="AM2108" s="3"/>
      <c r="AN2108" s="3"/>
    </row>
    <row r="2109" spans="3:40">
      <c r="C2109" s="3"/>
      <c r="D2109" s="3"/>
      <c r="E2109" s="3"/>
      <c r="S2109" s="3"/>
      <c r="T2109" s="3"/>
      <c r="AI2109" s="3"/>
      <c r="AJ2109" s="3"/>
      <c r="AK2109" s="3"/>
      <c r="AL2109" s="3"/>
      <c r="AM2109" s="3"/>
      <c r="AN2109" s="3"/>
    </row>
    <row r="2110" spans="3:40">
      <c r="C2110" s="3"/>
      <c r="D2110" s="3"/>
      <c r="E2110" s="3"/>
      <c r="S2110" s="3"/>
      <c r="T2110" s="3"/>
      <c r="AI2110" s="3"/>
      <c r="AJ2110" s="3"/>
      <c r="AK2110" s="3"/>
      <c r="AL2110" s="3"/>
      <c r="AM2110" s="3"/>
      <c r="AN2110" s="3"/>
    </row>
    <row r="2111" spans="3:40">
      <c r="C2111" s="3"/>
      <c r="D2111" s="3"/>
      <c r="E2111" s="3"/>
      <c r="S2111" s="3"/>
      <c r="T2111" s="3"/>
      <c r="AI2111" s="3"/>
      <c r="AJ2111" s="3"/>
      <c r="AK2111" s="3"/>
      <c r="AL2111" s="3"/>
      <c r="AM2111" s="3"/>
      <c r="AN2111" s="3"/>
    </row>
    <row r="2112" spans="3:40">
      <c r="C2112" s="3"/>
      <c r="D2112" s="3"/>
      <c r="E2112" s="3"/>
      <c r="S2112" s="3"/>
      <c r="T2112" s="3"/>
      <c r="AI2112" s="3"/>
      <c r="AJ2112" s="3"/>
      <c r="AK2112" s="3"/>
      <c r="AL2112" s="3"/>
      <c r="AM2112" s="3"/>
      <c r="AN2112" s="3"/>
    </row>
    <row r="2113" spans="3:40">
      <c r="C2113" s="3"/>
      <c r="D2113" s="3"/>
      <c r="E2113" s="3"/>
      <c r="S2113" s="3"/>
      <c r="T2113" s="3"/>
      <c r="AI2113" s="3"/>
      <c r="AJ2113" s="3"/>
      <c r="AK2113" s="3"/>
      <c r="AL2113" s="3"/>
      <c r="AM2113" s="3"/>
      <c r="AN2113" s="3"/>
    </row>
    <row r="2114" spans="3:40">
      <c r="C2114" s="3"/>
      <c r="D2114" s="3"/>
      <c r="E2114" s="3"/>
      <c r="S2114" s="3"/>
      <c r="T2114" s="3"/>
      <c r="AI2114" s="3"/>
      <c r="AJ2114" s="3"/>
      <c r="AK2114" s="3"/>
      <c r="AL2114" s="3"/>
      <c r="AM2114" s="3"/>
      <c r="AN2114" s="3"/>
    </row>
    <row r="2115" spans="3:40">
      <c r="C2115" s="3"/>
      <c r="D2115" s="3"/>
      <c r="E2115" s="3"/>
      <c r="S2115" s="3"/>
      <c r="T2115" s="3"/>
      <c r="AI2115" s="3"/>
      <c r="AJ2115" s="3"/>
      <c r="AK2115" s="3"/>
      <c r="AL2115" s="3"/>
      <c r="AM2115" s="3"/>
      <c r="AN2115" s="3"/>
    </row>
    <row r="2116" spans="3:40">
      <c r="C2116" s="3"/>
      <c r="D2116" s="3"/>
      <c r="E2116" s="3"/>
      <c r="S2116" s="3"/>
      <c r="T2116" s="3"/>
      <c r="AI2116" s="3"/>
      <c r="AJ2116" s="3"/>
      <c r="AK2116" s="3"/>
      <c r="AL2116" s="3"/>
      <c r="AM2116" s="3"/>
      <c r="AN2116" s="3"/>
    </row>
    <row r="2117" spans="3:40">
      <c r="C2117" s="3"/>
      <c r="D2117" s="3"/>
      <c r="E2117" s="3"/>
      <c r="S2117" s="3"/>
      <c r="T2117" s="3"/>
      <c r="AI2117" s="3"/>
      <c r="AJ2117" s="3"/>
      <c r="AK2117" s="3"/>
      <c r="AL2117" s="3"/>
      <c r="AM2117" s="3"/>
      <c r="AN2117" s="3"/>
    </row>
    <row r="2118" spans="3:40">
      <c r="C2118" s="3"/>
      <c r="D2118" s="3"/>
      <c r="E2118" s="3"/>
      <c r="S2118" s="3"/>
      <c r="T2118" s="3"/>
      <c r="AI2118" s="3"/>
      <c r="AJ2118" s="3"/>
      <c r="AK2118" s="3"/>
      <c r="AL2118" s="3"/>
      <c r="AM2118" s="3"/>
      <c r="AN2118" s="3"/>
    </row>
    <row r="2119" spans="3:40">
      <c r="C2119" s="3"/>
      <c r="D2119" s="3"/>
      <c r="E2119" s="3"/>
      <c r="S2119" s="3"/>
      <c r="T2119" s="3"/>
      <c r="AI2119" s="3"/>
      <c r="AJ2119" s="3"/>
      <c r="AK2119" s="3"/>
      <c r="AL2119" s="3"/>
      <c r="AM2119" s="3"/>
      <c r="AN2119" s="3"/>
    </row>
    <row r="2120" spans="3:40">
      <c r="C2120" s="3"/>
      <c r="D2120" s="3"/>
      <c r="E2120" s="3"/>
      <c r="S2120" s="3"/>
      <c r="T2120" s="3"/>
      <c r="AI2120" s="3"/>
      <c r="AJ2120" s="3"/>
      <c r="AK2120" s="3"/>
      <c r="AL2120" s="3"/>
      <c r="AM2120" s="3"/>
      <c r="AN2120" s="3"/>
    </row>
    <row r="2121" spans="3:40">
      <c r="C2121" s="3"/>
      <c r="D2121" s="3"/>
      <c r="E2121" s="3"/>
      <c r="S2121" s="3"/>
      <c r="T2121" s="3"/>
      <c r="AI2121" s="3"/>
      <c r="AJ2121" s="3"/>
      <c r="AK2121" s="3"/>
      <c r="AL2121" s="3"/>
      <c r="AM2121" s="3"/>
      <c r="AN2121" s="3"/>
    </row>
    <row r="2122" spans="3:40">
      <c r="C2122" s="3"/>
      <c r="D2122" s="3"/>
      <c r="E2122" s="3"/>
      <c r="S2122" s="3"/>
      <c r="T2122" s="3"/>
      <c r="AI2122" s="3"/>
      <c r="AJ2122" s="3"/>
      <c r="AK2122" s="3"/>
      <c r="AL2122" s="3"/>
      <c r="AM2122" s="3"/>
      <c r="AN2122" s="3"/>
    </row>
    <row r="2123" spans="3:40">
      <c r="C2123" s="3"/>
      <c r="D2123" s="3"/>
      <c r="E2123" s="3"/>
      <c r="S2123" s="3"/>
      <c r="T2123" s="3"/>
      <c r="AI2123" s="3"/>
      <c r="AJ2123" s="3"/>
      <c r="AK2123" s="3"/>
      <c r="AL2123" s="3"/>
      <c r="AM2123" s="3"/>
      <c r="AN2123" s="3"/>
    </row>
    <row r="2124" spans="3:40">
      <c r="C2124" s="3"/>
      <c r="D2124" s="3"/>
      <c r="E2124" s="3"/>
      <c r="S2124" s="3"/>
      <c r="T2124" s="3"/>
      <c r="AI2124" s="3"/>
      <c r="AJ2124" s="3"/>
      <c r="AK2124" s="3"/>
      <c r="AL2124" s="3"/>
      <c r="AM2124" s="3"/>
      <c r="AN2124" s="3"/>
    </row>
    <row r="2125" spans="3:40">
      <c r="C2125" s="3"/>
      <c r="D2125" s="3"/>
      <c r="E2125" s="3"/>
      <c r="S2125" s="3"/>
      <c r="T2125" s="3"/>
      <c r="AI2125" s="3"/>
      <c r="AJ2125" s="3"/>
      <c r="AK2125" s="3"/>
      <c r="AL2125" s="3"/>
      <c r="AM2125" s="3"/>
      <c r="AN2125" s="3"/>
    </row>
    <row r="2126" spans="3:40">
      <c r="C2126" s="3"/>
      <c r="D2126" s="3"/>
      <c r="E2126" s="3"/>
      <c r="S2126" s="3"/>
      <c r="T2126" s="3"/>
      <c r="AI2126" s="3"/>
      <c r="AJ2126" s="3"/>
      <c r="AK2126" s="3"/>
      <c r="AL2126" s="3"/>
      <c r="AM2126" s="3"/>
      <c r="AN2126" s="3"/>
    </row>
    <row r="2127" spans="3:40">
      <c r="C2127" s="3"/>
      <c r="D2127" s="3"/>
      <c r="E2127" s="3"/>
      <c r="S2127" s="3"/>
      <c r="T2127" s="3"/>
      <c r="AI2127" s="3"/>
      <c r="AJ2127" s="3"/>
      <c r="AK2127" s="3"/>
      <c r="AL2127" s="3"/>
      <c r="AM2127" s="3"/>
      <c r="AN2127" s="3"/>
    </row>
    <row r="2128" spans="3:40">
      <c r="C2128" s="3"/>
      <c r="D2128" s="3"/>
      <c r="E2128" s="3"/>
      <c r="S2128" s="3"/>
      <c r="T2128" s="3"/>
      <c r="AI2128" s="3"/>
      <c r="AJ2128" s="3"/>
      <c r="AK2128" s="3"/>
      <c r="AL2128" s="3"/>
      <c r="AM2128" s="3"/>
      <c r="AN2128" s="3"/>
    </row>
    <row r="2129" spans="3:40">
      <c r="C2129" s="3"/>
      <c r="D2129" s="3"/>
      <c r="E2129" s="3"/>
      <c r="S2129" s="3"/>
      <c r="T2129" s="3"/>
      <c r="AI2129" s="3"/>
      <c r="AJ2129" s="3"/>
      <c r="AK2129" s="3"/>
      <c r="AL2129" s="3"/>
      <c r="AM2129" s="3"/>
      <c r="AN2129" s="3"/>
    </row>
    <row r="2130" spans="3:40">
      <c r="C2130" s="3"/>
      <c r="D2130" s="3"/>
      <c r="E2130" s="3"/>
      <c r="S2130" s="3"/>
      <c r="T2130" s="3"/>
      <c r="AI2130" s="3"/>
      <c r="AJ2130" s="3"/>
      <c r="AK2130" s="3"/>
      <c r="AL2130" s="3"/>
      <c r="AM2130" s="3"/>
      <c r="AN2130" s="3"/>
    </row>
    <row r="2131" spans="3:40">
      <c r="C2131" s="3"/>
      <c r="D2131" s="3"/>
      <c r="E2131" s="3"/>
      <c r="S2131" s="3"/>
      <c r="T2131" s="3"/>
      <c r="AI2131" s="3"/>
      <c r="AJ2131" s="3"/>
      <c r="AK2131" s="3"/>
      <c r="AL2131" s="3"/>
      <c r="AM2131" s="3"/>
      <c r="AN2131" s="3"/>
    </row>
    <row r="2132" spans="3:40">
      <c r="C2132" s="3"/>
      <c r="D2132" s="3"/>
      <c r="E2132" s="3"/>
      <c r="S2132" s="3"/>
      <c r="T2132" s="3"/>
      <c r="AI2132" s="3"/>
      <c r="AJ2132" s="3"/>
      <c r="AK2132" s="3"/>
      <c r="AL2132" s="3"/>
      <c r="AM2132" s="3"/>
      <c r="AN2132" s="3"/>
    </row>
    <row r="2133" spans="3:40">
      <c r="C2133" s="3"/>
      <c r="D2133" s="3"/>
      <c r="E2133" s="3"/>
      <c r="S2133" s="3"/>
      <c r="T2133" s="3"/>
      <c r="AI2133" s="3"/>
      <c r="AJ2133" s="3"/>
      <c r="AK2133" s="3"/>
      <c r="AL2133" s="3"/>
      <c r="AM2133" s="3"/>
      <c r="AN2133" s="3"/>
    </row>
    <row r="2134" spans="3:40">
      <c r="C2134" s="3"/>
      <c r="D2134" s="3"/>
      <c r="E2134" s="3"/>
      <c r="S2134" s="3"/>
      <c r="T2134" s="3"/>
      <c r="AI2134" s="3"/>
      <c r="AJ2134" s="3"/>
      <c r="AK2134" s="3"/>
      <c r="AL2134" s="3"/>
      <c r="AM2134" s="3"/>
      <c r="AN2134" s="3"/>
    </row>
    <row r="2135" spans="3:40">
      <c r="C2135" s="3"/>
      <c r="D2135" s="3"/>
      <c r="E2135" s="3"/>
      <c r="S2135" s="3"/>
      <c r="T2135" s="3"/>
      <c r="AI2135" s="3"/>
      <c r="AJ2135" s="3"/>
      <c r="AK2135" s="3"/>
      <c r="AL2135" s="3"/>
      <c r="AM2135" s="3"/>
      <c r="AN2135" s="3"/>
    </row>
    <row r="2136" spans="3:40">
      <c r="C2136" s="3"/>
      <c r="D2136" s="3"/>
      <c r="E2136" s="3"/>
      <c r="S2136" s="3"/>
      <c r="T2136" s="3"/>
      <c r="AI2136" s="3"/>
      <c r="AJ2136" s="3"/>
      <c r="AK2136" s="3"/>
      <c r="AL2136" s="3"/>
      <c r="AM2136" s="3"/>
      <c r="AN2136" s="3"/>
    </row>
    <row r="2137" spans="3:40">
      <c r="C2137" s="3"/>
      <c r="D2137" s="3"/>
      <c r="E2137" s="3"/>
      <c r="S2137" s="3"/>
      <c r="T2137" s="3"/>
      <c r="AI2137" s="3"/>
      <c r="AJ2137" s="3"/>
      <c r="AK2137" s="3"/>
      <c r="AL2137" s="3"/>
      <c r="AM2137" s="3"/>
      <c r="AN2137" s="3"/>
    </row>
    <row r="2138" spans="3:40">
      <c r="C2138" s="3"/>
      <c r="D2138" s="3"/>
      <c r="E2138" s="3"/>
      <c r="S2138" s="3"/>
      <c r="T2138" s="3"/>
      <c r="AI2138" s="3"/>
      <c r="AJ2138" s="3"/>
      <c r="AK2138" s="3"/>
      <c r="AL2138" s="3"/>
      <c r="AM2138" s="3"/>
      <c r="AN2138" s="3"/>
    </row>
    <row r="2139" spans="3:40">
      <c r="C2139" s="3"/>
      <c r="D2139" s="3"/>
      <c r="E2139" s="3"/>
      <c r="S2139" s="3"/>
      <c r="T2139" s="3"/>
      <c r="AI2139" s="3"/>
      <c r="AJ2139" s="3"/>
      <c r="AK2139" s="3"/>
      <c r="AL2139" s="3"/>
      <c r="AM2139" s="3"/>
      <c r="AN2139" s="3"/>
    </row>
    <row r="2140" spans="3:40">
      <c r="C2140" s="3"/>
      <c r="D2140" s="3"/>
      <c r="E2140" s="3"/>
      <c r="S2140" s="3"/>
      <c r="T2140" s="3"/>
      <c r="AI2140" s="3"/>
      <c r="AJ2140" s="3"/>
      <c r="AK2140" s="3"/>
      <c r="AL2140" s="3"/>
      <c r="AM2140" s="3"/>
      <c r="AN2140" s="3"/>
    </row>
    <row r="2141" spans="3:40">
      <c r="C2141" s="3"/>
      <c r="D2141" s="3"/>
      <c r="E2141" s="3"/>
      <c r="S2141" s="3"/>
      <c r="T2141" s="3"/>
      <c r="AI2141" s="3"/>
      <c r="AJ2141" s="3"/>
      <c r="AK2141" s="3"/>
      <c r="AL2141" s="3"/>
      <c r="AM2141" s="3"/>
      <c r="AN2141" s="3"/>
    </row>
    <row r="2142" spans="3:40">
      <c r="C2142" s="3"/>
      <c r="D2142" s="3"/>
      <c r="E2142" s="3"/>
      <c r="S2142" s="3"/>
      <c r="T2142" s="3"/>
      <c r="AI2142" s="3"/>
      <c r="AJ2142" s="3"/>
      <c r="AK2142" s="3"/>
      <c r="AL2142" s="3"/>
      <c r="AM2142" s="3"/>
      <c r="AN2142" s="3"/>
    </row>
    <row r="2143" spans="3:40">
      <c r="C2143" s="3"/>
      <c r="D2143" s="3"/>
      <c r="E2143" s="3"/>
      <c r="S2143" s="3"/>
      <c r="T2143" s="3"/>
      <c r="AI2143" s="3"/>
      <c r="AJ2143" s="3"/>
      <c r="AK2143" s="3"/>
      <c r="AL2143" s="3"/>
      <c r="AM2143" s="3"/>
      <c r="AN2143" s="3"/>
    </row>
    <row r="2144" spans="3:40">
      <c r="C2144" s="3"/>
      <c r="D2144" s="3"/>
      <c r="E2144" s="3"/>
      <c r="S2144" s="3"/>
      <c r="T2144" s="3"/>
      <c r="AI2144" s="3"/>
      <c r="AJ2144" s="3"/>
      <c r="AK2144" s="3"/>
      <c r="AL2144" s="3"/>
      <c r="AM2144" s="3"/>
      <c r="AN2144" s="3"/>
    </row>
    <row r="2145" spans="3:40">
      <c r="C2145" s="3"/>
      <c r="D2145" s="3"/>
      <c r="E2145" s="3"/>
      <c r="S2145" s="3"/>
      <c r="T2145" s="3"/>
      <c r="AI2145" s="3"/>
      <c r="AJ2145" s="3"/>
      <c r="AK2145" s="3"/>
      <c r="AL2145" s="3"/>
      <c r="AM2145" s="3"/>
      <c r="AN2145" s="3"/>
    </row>
    <row r="2146" spans="3:40">
      <c r="C2146" s="3"/>
      <c r="D2146" s="3"/>
      <c r="E2146" s="3"/>
      <c r="S2146" s="3"/>
      <c r="T2146" s="3"/>
      <c r="AI2146" s="3"/>
      <c r="AJ2146" s="3"/>
      <c r="AK2146" s="3"/>
      <c r="AL2146" s="3"/>
      <c r="AM2146" s="3"/>
      <c r="AN2146" s="3"/>
    </row>
    <row r="2147" spans="3:40">
      <c r="C2147" s="3"/>
      <c r="D2147" s="3"/>
      <c r="E2147" s="3"/>
      <c r="S2147" s="3"/>
      <c r="T2147" s="3"/>
      <c r="AI2147" s="3"/>
      <c r="AJ2147" s="3"/>
      <c r="AK2147" s="3"/>
      <c r="AL2147" s="3"/>
      <c r="AM2147" s="3"/>
      <c r="AN2147" s="3"/>
    </row>
    <row r="2148" spans="3:40">
      <c r="C2148" s="3"/>
      <c r="D2148" s="3"/>
      <c r="E2148" s="3"/>
      <c r="S2148" s="3"/>
      <c r="T2148" s="3"/>
      <c r="AI2148" s="3"/>
      <c r="AJ2148" s="3"/>
      <c r="AK2148" s="3"/>
      <c r="AL2148" s="3"/>
      <c r="AM2148" s="3"/>
      <c r="AN2148" s="3"/>
    </row>
    <row r="2149" spans="3:40">
      <c r="C2149" s="3"/>
      <c r="D2149" s="3"/>
      <c r="E2149" s="3"/>
      <c r="S2149" s="3"/>
      <c r="T2149" s="3"/>
      <c r="AI2149" s="3"/>
      <c r="AJ2149" s="3"/>
      <c r="AK2149" s="3"/>
      <c r="AL2149" s="3"/>
      <c r="AM2149" s="3"/>
      <c r="AN2149" s="3"/>
    </row>
    <row r="2150" spans="3:40">
      <c r="C2150" s="3"/>
      <c r="D2150" s="3"/>
      <c r="E2150" s="3"/>
      <c r="S2150" s="3"/>
      <c r="T2150" s="3"/>
      <c r="AI2150" s="3"/>
      <c r="AJ2150" s="3"/>
      <c r="AK2150" s="3"/>
      <c r="AL2150" s="3"/>
      <c r="AM2150" s="3"/>
      <c r="AN2150" s="3"/>
    </row>
    <row r="2151" spans="3:40">
      <c r="C2151" s="3"/>
      <c r="D2151" s="3"/>
      <c r="E2151" s="3"/>
      <c r="S2151" s="3"/>
      <c r="T2151" s="3"/>
      <c r="AI2151" s="3"/>
      <c r="AJ2151" s="3"/>
      <c r="AK2151" s="3"/>
      <c r="AL2151" s="3"/>
      <c r="AM2151" s="3"/>
      <c r="AN2151" s="3"/>
    </row>
    <row r="2152" spans="3:40">
      <c r="C2152" s="3"/>
      <c r="D2152" s="3"/>
      <c r="E2152" s="3"/>
      <c r="S2152" s="3"/>
      <c r="T2152" s="3"/>
      <c r="AI2152" s="3"/>
      <c r="AJ2152" s="3"/>
      <c r="AK2152" s="3"/>
      <c r="AL2152" s="3"/>
      <c r="AM2152" s="3"/>
      <c r="AN2152" s="3"/>
    </row>
    <row r="2153" spans="3:40">
      <c r="C2153" s="3"/>
      <c r="D2153" s="3"/>
      <c r="E2153" s="3"/>
      <c r="S2153" s="3"/>
      <c r="T2153" s="3"/>
      <c r="AI2153" s="3"/>
      <c r="AJ2153" s="3"/>
      <c r="AK2153" s="3"/>
      <c r="AL2153" s="3"/>
      <c r="AM2153" s="3"/>
      <c r="AN2153" s="3"/>
    </row>
    <row r="2154" spans="3:40">
      <c r="C2154" s="3"/>
      <c r="D2154" s="3"/>
      <c r="E2154" s="3"/>
      <c r="S2154" s="3"/>
      <c r="T2154" s="3"/>
      <c r="AI2154" s="3"/>
      <c r="AJ2154" s="3"/>
      <c r="AK2154" s="3"/>
      <c r="AL2154" s="3"/>
      <c r="AM2154" s="3"/>
      <c r="AN2154" s="3"/>
    </row>
    <row r="2155" spans="3:40">
      <c r="C2155" s="3"/>
      <c r="D2155" s="3"/>
      <c r="E2155" s="3"/>
      <c r="S2155" s="3"/>
      <c r="T2155" s="3"/>
      <c r="AI2155" s="3"/>
      <c r="AJ2155" s="3"/>
      <c r="AK2155" s="3"/>
      <c r="AL2155" s="3"/>
      <c r="AM2155" s="3"/>
      <c r="AN2155" s="3"/>
    </row>
    <row r="2156" spans="3:40">
      <c r="C2156" s="3"/>
      <c r="D2156" s="3"/>
      <c r="E2156" s="3"/>
      <c r="S2156" s="3"/>
      <c r="T2156" s="3"/>
      <c r="AI2156" s="3"/>
      <c r="AJ2156" s="3"/>
      <c r="AK2156" s="3"/>
      <c r="AL2156" s="3"/>
      <c r="AM2156" s="3"/>
      <c r="AN2156" s="3"/>
    </row>
    <row r="2157" spans="3:40">
      <c r="C2157" s="3"/>
      <c r="D2157" s="3"/>
      <c r="E2157" s="3"/>
      <c r="S2157" s="3"/>
      <c r="T2157" s="3"/>
      <c r="AI2157" s="3"/>
      <c r="AJ2157" s="3"/>
      <c r="AK2157" s="3"/>
      <c r="AL2157" s="3"/>
      <c r="AM2157" s="3"/>
      <c r="AN2157" s="3"/>
    </row>
    <row r="2158" spans="3:40">
      <c r="C2158" s="3"/>
      <c r="D2158" s="3"/>
      <c r="E2158" s="3"/>
      <c r="S2158" s="3"/>
      <c r="T2158" s="3"/>
      <c r="AI2158" s="3"/>
      <c r="AJ2158" s="3"/>
      <c r="AK2158" s="3"/>
      <c r="AL2158" s="3"/>
      <c r="AM2158" s="3"/>
      <c r="AN2158" s="3"/>
    </row>
    <row r="2159" spans="3:40">
      <c r="C2159" s="3"/>
      <c r="D2159" s="3"/>
      <c r="E2159" s="3"/>
      <c r="S2159" s="3"/>
      <c r="T2159" s="3"/>
      <c r="AI2159" s="3"/>
      <c r="AJ2159" s="3"/>
      <c r="AK2159" s="3"/>
      <c r="AL2159" s="3"/>
      <c r="AM2159" s="3"/>
      <c r="AN2159" s="3"/>
    </row>
    <row r="2160" spans="3:40">
      <c r="C2160" s="3"/>
      <c r="D2160" s="3"/>
      <c r="E2160" s="3"/>
      <c r="S2160" s="3"/>
      <c r="T2160" s="3"/>
      <c r="AI2160" s="3"/>
      <c r="AJ2160" s="3"/>
      <c r="AK2160" s="3"/>
      <c r="AL2160" s="3"/>
      <c r="AM2160" s="3"/>
      <c r="AN2160" s="3"/>
    </row>
    <row r="2161" spans="3:40">
      <c r="C2161" s="3"/>
      <c r="D2161" s="3"/>
      <c r="E2161" s="3"/>
      <c r="S2161" s="3"/>
      <c r="T2161" s="3"/>
      <c r="AI2161" s="3"/>
      <c r="AJ2161" s="3"/>
      <c r="AK2161" s="3"/>
      <c r="AL2161" s="3"/>
      <c r="AM2161" s="3"/>
      <c r="AN2161" s="3"/>
    </row>
    <row r="2162" spans="3:40">
      <c r="C2162" s="3"/>
      <c r="D2162" s="3"/>
      <c r="E2162" s="3"/>
      <c r="S2162" s="3"/>
      <c r="T2162" s="3"/>
      <c r="AI2162" s="3"/>
      <c r="AJ2162" s="3"/>
      <c r="AK2162" s="3"/>
      <c r="AL2162" s="3"/>
      <c r="AM2162" s="3"/>
      <c r="AN2162" s="3"/>
    </row>
    <row r="2163" spans="3:40">
      <c r="C2163" s="3"/>
      <c r="D2163" s="3"/>
      <c r="E2163" s="3"/>
      <c r="S2163" s="3"/>
      <c r="T2163" s="3"/>
      <c r="AI2163" s="3"/>
      <c r="AJ2163" s="3"/>
      <c r="AK2163" s="3"/>
      <c r="AL2163" s="3"/>
      <c r="AM2163" s="3"/>
      <c r="AN2163" s="3"/>
    </row>
    <row r="2164" spans="3:40">
      <c r="C2164" s="3"/>
      <c r="D2164" s="3"/>
      <c r="E2164" s="3"/>
      <c r="S2164" s="3"/>
      <c r="T2164" s="3"/>
      <c r="AI2164" s="3"/>
      <c r="AJ2164" s="3"/>
      <c r="AK2164" s="3"/>
      <c r="AL2164" s="3"/>
      <c r="AM2164" s="3"/>
      <c r="AN2164" s="3"/>
    </row>
    <row r="2165" spans="3:40">
      <c r="C2165" s="3"/>
      <c r="D2165" s="3"/>
      <c r="E2165" s="3"/>
      <c r="S2165" s="3"/>
      <c r="T2165" s="3"/>
      <c r="AI2165" s="3"/>
      <c r="AJ2165" s="3"/>
      <c r="AK2165" s="3"/>
      <c r="AL2165" s="3"/>
      <c r="AM2165" s="3"/>
      <c r="AN2165" s="3"/>
    </row>
    <row r="2166" spans="3:40">
      <c r="C2166" s="3"/>
      <c r="D2166" s="3"/>
      <c r="E2166" s="3"/>
      <c r="S2166" s="3"/>
      <c r="T2166" s="3"/>
      <c r="AI2166" s="3"/>
      <c r="AJ2166" s="3"/>
      <c r="AK2166" s="3"/>
      <c r="AL2166" s="3"/>
      <c r="AM2166" s="3"/>
      <c r="AN2166" s="3"/>
    </row>
    <row r="2167" spans="3:40">
      <c r="C2167" s="3"/>
      <c r="D2167" s="3"/>
      <c r="E2167" s="3"/>
      <c r="S2167" s="3"/>
      <c r="T2167" s="3"/>
      <c r="AI2167" s="3"/>
      <c r="AJ2167" s="3"/>
      <c r="AK2167" s="3"/>
      <c r="AL2167" s="3"/>
      <c r="AM2167" s="3"/>
      <c r="AN2167" s="3"/>
    </row>
    <row r="2168" spans="3:40">
      <c r="C2168" s="3"/>
      <c r="D2168" s="3"/>
      <c r="E2168" s="3"/>
      <c r="S2168" s="3"/>
      <c r="T2168" s="3"/>
      <c r="AI2168" s="3"/>
      <c r="AJ2168" s="3"/>
      <c r="AK2168" s="3"/>
      <c r="AL2168" s="3"/>
      <c r="AM2168" s="3"/>
      <c r="AN2168" s="3"/>
    </row>
    <row r="2169" spans="3:40">
      <c r="C2169" s="3"/>
      <c r="D2169" s="3"/>
      <c r="E2169" s="3"/>
      <c r="S2169" s="3"/>
      <c r="T2169" s="3"/>
      <c r="AI2169" s="3"/>
      <c r="AJ2169" s="3"/>
      <c r="AK2169" s="3"/>
      <c r="AL2169" s="3"/>
      <c r="AM2169" s="3"/>
      <c r="AN2169" s="3"/>
    </row>
    <row r="2170" spans="3:40">
      <c r="C2170" s="3"/>
      <c r="D2170" s="3"/>
      <c r="E2170" s="3"/>
      <c r="S2170" s="3"/>
      <c r="T2170" s="3"/>
      <c r="AI2170" s="3"/>
      <c r="AJ2170" s="3"/>
      <c r="AK2170" s="3"/>
      <c r="AL2170" s="3"/>
      <c r="AM2170" s="3"/>
      <c r="AN2170" s="3"/>
    </row>
    <row r="2171" spans="3:40">
      <c r="C2171" s="3"/>
      <c r="D2171" s="3"/>
      <c r="E2171" s="3"/>
      <c r="S2171" s="3"/>
      <c r="T2171" s="3"/>
      <c r="AI2171" s="3"/>
      <c r="AJ2171" s="3"/>
      <c r="AK2171" s="3"/>
      <c r="AL2171" s="3"/>
      <c r="AM2171" s="3"/>
      <c r="AN2171" s="3"/>
    </row>
    <row r="2172" spans="3:40">
      <c r="C2172" s="3"/>
      <c r="D2172" s="3"/>
      <c r="E2172" s="3"/>
      <c r="S2172" s="3"/>
      <c r="T2172" s="3"/>
      <c r="AI2172" s="3"/>
      <c r="AJ2172" s="3"/>
      <c r="AK2172" s="3"/>
      <c r="AL2172" s="3"/>
      <c r="AM2172" s="3"/>
      <c r="AN2172" s="3"/>
    </row>
    <row r="2173" spans="3:40">
      <c r="C2173" s="3"/>
      <c r="D2173" s="3"/>
      <c r="E2173" s="3"/>
      <c r="S2173" s="3"/>
      <c r="T2173" s="3"/>
      <c r="AI2173" s="3"/>
      <c r="AJ2173" s="3"/>
      <c r="AK2173" s="3"/>
      <c r="AL2173" s="3"/>
      <c r="AM2173" s="3"/>
      <c r="AN2173" s="3"/>
    </row>
    <row r="2174" spans="3:40">
      <c r="C2174" s="3"/>
      <c r="D2174" s="3"/>
      <c r="E2174" s="3"/>
      <c r="S2174" s="3"/>
      <c r="T2174" s="3"/>
      <c r="AI2174" s="3"/>
      <c r="AJ2174" s="3"/>
      <c r="AK2174" s="3"/>
      <c r="AL2174" s="3"/>
      <c r="AM2174" s="3"/>
      <c r="AN2174" s="3"/>
    </row>
    <row r="2175" spans="3:40">
      <c r="C2175" s="3"/>
      <c r="D2175" s="3"/>
      <c r="E2175" s="3"/>
      <c r="S2175" s="3"/>
      <c r="T2175" s="3"/>
      <c r="AI2175" s="3"/>
      <c r="AJ2175" s="3"/>
      <c r="AK2175" s="3"/>
      <c r="AL2175" s="3"/>
      <c r="AM2175" s="3"/>
      <c r="AN2175" s="3"/>
    </row>
    <row r="2176" spans="3:40">
      <c r="C2176" s="3"/>
      <c r="D2176" s="3"/>
      <c r="E2176" s="3"/>
      <c r="S2176" s="3"/>
      <c r="T2176" s="3"/>
      <c r="AI2176" s="3"/>
      <c r="AJ2176" s="3"/>
      <c r="AK2176" s="3"/>
      <c r="AL2176" s="3"/>
      <c r="AM2176" s="3"/>
      <c r="AN2176" s="3"/>
    </row>
    <row r="2177" spans="3:40">
      <c r="C2177" s="3"/>
      <c r="D2177" s="3"/>
      <c r="E2177" s="3"/>
      <c r="S2177" s="3"/>
      <c r="T2177" s="3"/>
      <c r="AI2177" s="3"/>
      <c r="AJ2177" s="3"/>
      <c r="AK2177" s="3"/>
      <c r="AL2177" s="3"/>
      <c r="AM2177" s="3"/>
      <c r="AN2177" s="3"/>
    </row>
    <row r="2178" spans="3:40">
      <c r="C2178" s="3"/>
      <c r="D2178" s="3"/>
      <c r="E2178" s="3"/>
      <c r="S2178" s="3"/>
      <c r="T2178" s="3"/>
      <c r="AI2178" s="3"/>
      <c r="AJ2178" s="3"/>
      <c r="AK2178" s="3"/>
      <c r="AL2178" s="3"/>
      <c r="AM2178" s="3"/>
      <c r="AN2178" s="3"/>
    </row>
    <row r="2179" spans="3:40">
      <c r="C2179" s="3"/>
      <c r="D2179" s="3"/>
      <c r="E2179" s="3"/>
      <c r="S2179" s="3"/>
      <c r="T2179" s="3"/>
      <c r="AI2179" s="3"/>
      <c r="AJ2179" s="3"/>
      <c r="AK2179" s="3"/>
      <c r="AL2179" s="3"/>
      <c r="AM2179" s="3"/>
      <c r="AN2179" s="3"/>
    </row>
    <row r="2180" spans="3:40">
      <c r="C2180" s="3"/>
      <c r="D2180" s="3"/>
      <c r="E2180" s="3"/>
      <c r="S2180" s="3"/>
      <c r="T2180" s="3"/>
      <c r="AI2180" s="3"/>
      <c r="AJ2180" s="3"/>
      <c r="AK2180" s="3"/>
      <c r="AL2180" s="3"/>
      <c r="AM2180" s="3"/>
      <c r="AN2180" s="3"/>
    </row>
    <row r="2181" spans="3:40">
      <c r="C2181" s="3"/>
      <c r="D2181" s="3"/>
      <c r="E2181" s="3"/>
      <c r="S2181" s="3"/>
      <c r="T2181" s="3"/>
      <c r="AI2181" s="3"/>
      <c r="AJ2181" s="3"/>
      <c r="AK2181" s="3"/>
      <c r="AL2181" s="3"/>
      <c r="AM2181" s="3"/>
      <c r="AN2181" s="3"/>
    </row>
    <row r="2182" spans="3:40">
      <c r="C2182" s="3"/>
      <c r="D2182" s="3"/>
      <c r="E2182" s="3"/>
      <c r="S2182" s="3"/>
      <c r="T2182" s="3"/>
      <c r="AI2182" s="3"/>
      <c r="AJ2182" s="3"/>
      <c r="AK2182" s="3"/>
      <c r="AL2182" s="3"/>
      <c r="AM2182" s="3"/>
      <c r="AN2182" s="3"/>
    </row>
    <row r="2183" spans="3:40">
      <c r="C2183" s="3"/>
      <c r="D2183" s="3"/>
      <c r="E2183" s="3"/>
      <c r="S2183" s="3"/>
      <c r="T2183" s="3"/>
      <c r="AI2183" s="3"/>
      <c r="AJ2183" s="3"/>
      <c r="AK2183" s="3"/>
      <c r="AL2183" s="3"/>
      <c r="AM2183" s="3"/>
      <c r="AN2183" s="3"/>
    </row>
    <row r="2184" spans="3:40">
      <c r="C2184" s="3"/>
      <c r="D2184" s="3"/>
      <c r="E2184" s="3"/>
      <c r="S2184" s="3"/>
      <c r="T2184" s="3"/>
      <c r="AI2184" s="3"/>
      <c r="AJ2184" s="3"/>
      <c r="AK2184" s="3"/>
      <c r="AL2184" s="3"/>
      <c r="AM2184" s="3"/>
      <c r="AN2184" s="3"/>
    </row>
    <row r="2185" spans="3:40">
      <c r="C2185" s="3"/>
      <c r="D2185" s="3"/>
      <c r="E2185" s="3"/>
      <c r="S2185" s="3"/>
      <c r="T2185" s="3"/>
      <c r="AI2185" s="3"/>
      <c r="AJ2185" s="3"/>
      <c r="AK2185" s="3"/>
      <c r="AL2185" s="3"/>
      <c r="AM2185" s="3"/>
      <c r="AN2185" s="3"/>
    </row>
    <row r="2186" spans="3:40">
      <c r="C2186" s="3"/>
      <c r="D2186" s="3"/>
      <c r="E2186" s="3"/>
      <c r="S2186" s="3"/>
      <c r="T2186" s="3"/>
      <c r="AI2186" s="3"/>
      <c r="AJ2186" s="3"/>
      <c r="AK2186" s="3"/>
      <c r="AL2186" s="3"/>
      <c r="AM2186" s="3"/>
      <c r="AN2186" s="3"/>
    </row>
    <row r="2187" spans="3:40">
      <c r="C2187" s="3"/>
      <c r="D2187" s="3"/>
      <c r="E2187" s="3"/>
      <c r="S2187" s="3"/>
      <c r="T2187" s="3"/>
      <c r="AI2187" s="3"/>
      <c r="AJ2187" s="3"/>
      <c r="AK2187" s="3"/>
      <c r="AL2187" s="3"/>
      <c r="AM2187" s="3"/>
      <c r="AN2187" s="3"/>
    </row>
    <row r="2188" spans="3:40">
      <c r="C2188" s="3"/>
      <c r="D2188" s="3"/>
      <c r="E2188" s="3"/>
      <c r="S2188" s="3"/>
      <c r="T2188" s="3"/>
      <c r="AI2188" s="3"/>
      <c r="AJ2188" s="3"/>
      <c r="AK2188" s="3"/>
      <c r="AL2188" s="3"/>
      <c r="AM2188" s="3"/>
      <c r="AN2188" s="3"/>
    </row>
    <row r="2189" spans="3:40">
      <c r="C2189" s="3"/>
      <c r="D2189" s="3"/>
      <c r="E2189" s="3"/>
      <c r="S2189" s="3"/>
      <c r="T2189" s="3"/>
      <c r="AI2189" s="3"/>
      <c r="AJ2189" s="3"/>
      <c r="AK2189" s="3"/>
      <c r="AL2189" s="3"/>
      <c r="AM2189" s="3"/>
      <c r="AN2189" s="3"/>
    </row>
    <row r="2190" spans="3:40">
      <c r="C2190" s="3"/>
      <c r="D2190" s="3"/>
      <c r="E2190" s="3"/>
      <c r="S2190" s="3"/>
      <c r="T2190" s="3"/>
      <c r="AI2190" s="3"/>
      <c r="AJ2190" s="3"/>
      <c r="AK2190" s="3"/>
      <c r="AL2190" s="3"/>
      <c r="AM2190" s="3"/>
      <c r="AN2190" s="3"/>
    </row>
    <row r="2191" spans="3:40">
      <c r="C2191" s="3"/>
      <c r="D2191" s="3"/>
      <c r="E2191" s="3"/>
      <c r="S2191" s="3"/>
      <c r="T2191" s="3"/>
      <c r="AI2191" s="3"/>
      <c r="AJ2191" s="3"/>
      <c r="AK2191" s="3"/>
      <c r="AL2191" s="3"/>
      <c r="AM2191" s="3"/>
      <c r="AN2191" s="3"/>
    </row>
    <row r="2192" spans="3:40">
      <c r="C2192" s="3"/>
      <c r="D2192" s="3"/>
      <c r="E2192" s="3"/>
      <c r="S2192" s="3"/>
      <c r="T2192" s="3"/>
      <c r="AI2192" s="3"/>
      <c r="AJ2192" s="3"/>
      <c r="AK2192" s="3"/>
      <c r="AL2192" s="3"/>
      <c r="AM2192" s="3"/>
      <c r="AN2192" s="3"/>
    </row>
    <row r="2193" spans="3:40">
      <c r="C2193" s="3"/>
      <c r="D2193" s="3"/>
      <c r="E2193" s="3"/>
      <c r="S2193" s="3"/>
      <c r="T2193" s="3"/>
      <c r="AI2193" s="3"/>
      <c r="AJ2193" s="3"/>
      <c r="AK2193" s="3"/>
      <c r="AL2193" s="3"/>
      <c r="AM2193" s="3"/>
      <c r="AN2193" s="3"/>
    </row>
    <row r="2194" spans="3:40">
      <c r="C2194" s="3"/>
      <c r="D2194" s="3"/>
      <c r="E2194" s="3"/>
      <c r="S2194" s="3"/>
      <c r="T2194" s="3"/>
      <c r="AI2194" s="3"/>
      <c r="AJ2194" s="3"/>
      <c r="AK2194" s="3"/>
      <c r="AL2194" s="3"/>
      <c r="AM2194" s="3"/>
      <c r="AN2194" s="3"/>
    </row>
    <row r="2195" spans="3:40">
      <c r="C2195" s="3"/>
      <c r="D2195" s="3"/>
      <c r="E2195" s="3"/>
      <c r="S2195" s="3"/>
      <c r="T2195" s="3"/>
      <c r="AI2195" s="3"/>
      <c r="AJ2195" s="3"/>
      <c r="AK2195" s="3"/>
      <c r="AL2195" s="3"/>
      <c r="AM2195" s="3"/>
      <c r="AN2195" s="3"/>
    </row>
    <row r="2196" spans="3:40">
      <c r="C2196" s="3"/>
      <c r="D2196" s="3"/>
      <c r="E2196" s="3"/>
      <c r="S2196" s="3"/>
      <c r="T2196" s="3"/>
      <c r="AI2196" s="3"/>
      <c r="AJ2196" s="3"/>
      <c r="AK2196" s="3"/>
      <c r="AL2196" s="3"/>
      <c r="AM2196" s="3"/>
      <c r="AN2196" s="3"/>
    </row>
    <row r="2197" spans="3:40">
      <c r="C2197" s="3"/>
      <c r="D2197" s="3"/>
      <c r="E2197" s="3"/>
      <c r="S2197" s="3"/>
      <c r="T2197" s="3"/>
      <c r="AI2197" s="3"/>
      <c r="AJ2197" s="3"/>
      <c r="AK2197" s="3"/>
      <c r="AL2197" s="3"/>
      <c r="AM2197" s="3"/>
      <c r="AN2197" s="3"/>
    </row>
    <row r="2198" spans="3:40">
      <c r="C2198" s="3"/>
      <c r="D2198" s="3"/>
      <c r="E2198" s="3"/>
      <c r="S2198" s="3"/>
      <c r="T2198" s="3"/>
      <c r="AI2198" s="3"/>
      <c r="AJ2198" s="3"/>
      <c r="AK2198" s="3"/>
      <c r="AL2198" s="3"/>
      <c r="AM2198" s="3"/>
      <c r="AN2198" s="3"/>
    </row>
    <row r="2199" spans="3:40">
      <c r="C2199" s="3"/>
      <c r="D2199" s="3"/>
      <c r="E2199" s="3"/>
      <c r="S2199" s="3"/>
      <c r="T2199" s="3"/>
      <c r="AI2199" s="3"/>
      <c r="AJ2199" s="3"/>
      <c r="AK2199" s="3"/>
      <c r="AL2199" s="3"/>
      <c r="AM2199" s="3"/>
      <c r="AN2199" s="3"/>
    </row>
    <row r="2200" spans="3:40">
      <c r="C2200" s="3"/>
      <c r="D2200" s="3"/>
      <c r="E2200" s="3"/>
      <c r="S2200" s="3"/>
      <c r="T2200" s="3"/>
      <c r="AI2200" s="3"/>
      <c r="AJ2200" s="3"/>
      <c r="AK2200" s="3"/>
      <c r="AL2200" s="3"/>
      <c r="AM2200" s="3"/>
      <c r="AN2200" s="3"/>
    </row>
    <row r="2201" spans="3:40">
      <c r="C2201" s="3"/>
      <c r="D2201" s="3"/>
      <c r="E2201" s="3"/>
      <c r="S2201" s="3"/>
      <c r="T2201" s="3"/>
      <c r="AI2201" s="3"/>
      <c r="AJ2201" s="3"/>
      <c r="AK2201" s="3"/>
      <c r="AL2201" s="3"/>
      <c r="AM2201" s="3"/>
      <c r="AN2201" s="3"/>
    </row>
    <row r="2202" spans="3:40">
      <c r="C2202" s="3"/>
      <c r="D2202" s="3"/>
      <c r="E2202" s="3"/>
      <c r="S2202" s="3"/>
      <c r="T2202" s="3"/>
      <c r="AI2202" s="3"/>
      <c r="AJ2202" s="3"/>
      <c r="AK2202" s="3"/>
      <c r="AL2202" s="3"/>
      <c r="AM2202" s="3"/>
      <c r="AN2202" s="3"/>
    </row>
    <row r="2203" spans="3:40">
      <c r="C2203" s="3"/>
      <c r="D2203" s="3"/>
      <c r="E2203" s="3"/>
      <c r="S2203" s="3"/>
      <c r="T2203" s="3"/>
      <c r="AI2203" s="3"/>
      <c r="AJ2203" s="3"/>
      <c r="AK2203" s="3"/>
      <c r="AL2203" s="3"/>
      <c r="AM2203" s="3"/>
      <c r="AN2203" s="3"/>
    </row>
    <row r="2204" spans="3:40">
      <c r="C2204" s="3"/>
      <c r="D2204" s="3"/>
      <c r="E2204" s="3"/>
      <c r="S2204" s="3"/>
      <c r="T2204" s="3"/>
      <c r="AI2204" s="3"/>
      <c r="AJ2204" s="3"/>
      <c r="AK2204" s="3"/>
      <c r="AL2204" s="3"/>
      <c r="AM2204" s="3"/>
      <c r="AN2204" s="3"/>
    </row>
    <row r="2205" spans="3:40">
      <c r="C2205" s="3"/>
      <c r="D2205" s="3"/>
      <c r="E2205" s="3"/>
      <c r="S2205" s="3"/>
      <c r="T2205" s="3"/>
      <c r="AI2205" s="3"/>
      <c r="AJ2205" s="3"/>
      <c r="AK2205" s="3"/>
      <c r="AL2205" s="3"/>
      <c r="AM2205" s="3"/>
      <c r="AN2205" s="3"/>
    </row>
    <row r="2206" spans="3:40">
      <c r="C2206" s="3"/>
      <c r="D2206" s="3"/>
      <c r="E2206" s="3"/>
      <c r="S2206" s="3"/>
      <c r="T2206" s="3"/>
      <c r="AI2206" s="3"/>
      <c r="AJ2206" s="3"/>
      <c r="AK2206" s="3"/>
      <c r="AL2206" s="3"/>
      <c r="AM2206" s="3"/>
      <c r="AN2206" s="3"/>
    </row>
    <row r="2207" spans="3:40">
      <c r="C2207" s="3"/>
      <c r="D2207" s="3"/>
      <c r="E2207" s="3"/>
      <c r="S2207" s="3"/>
      <c r="T2207" s="3"/>
      <c r="AI2207" s="3"/>
      <c r="AJ2207" s="3"/>
      <c r="AK2207" s="3"/>
      <c r="AL2207" s="3"/>
      <c r="AM2207" s="3"/>
      <c r="AN2207" s="3"/>
    </row>
    <row r="2208" spans="3:40">
      <c r="C2208" s="3"/>
      <c r="D2208" s="3"/>
      <c r="E2208" s="3"/>
      <c r="S2208" s="3"/>
      <c r="T2208" s="3"/>
      <c r="AI2208" s="3"/>
      <c r="AJ2208" s="3"/>
      <c r="AK2208" s="3"/>
      <c r="AL2208" s="3"/>
      <c r="AM2208" s="3"/>
      <c r="AN2208" s="3"/>
    </row>
    <row r="2209" spans="3:40">
      <c r="C2209" s="3"/>
      <c r="D2209" s="3"/>
      <c r="E2209" s="3"/>
      <c r="S2209" s="3"/>
      <c r="T2209" s="3"/>
      <c r="AI2209" s="3"/>
      <c r="AJ2209" s="3"/>
      <c r="AK2209" s="3"/>
      <c r="AL2209" s="3"/>
      <c r="AM2209" s="3"/>
      <c r="AN2209" s="3"/>
    </row>
    <row r="2210" spans="3:40">
      <c r="C2210" s="3"/>
      <c r="D2210" s="3"/>
      <c r="E2210" s="3"/>
      <c r="S2210" s="3"/>
      <c r="T2210" s="3"/>
      <c r="AI2210" s="3"/>
      <c r="AJ2210" s="3"/>
      <c r="AK2210" s="3"/>
      <c r="AL2210" s="3"/>
      <c r="AM2210" s="3"/>
      <c r="AN2210" s="3"/>
    </row>
    <row r="2211" spans="3:40">
      <c r="C2211" s="3"/>
      <c r="D2211" s="3"/>
      <c r="E2211" s="3"/>
      <c r="S2211" s="3"/>
      <c r="T2211" s="3"/>
      <c r="AI2211" s="3"/>
      <c r="AJ2211" s="3"/>
      <c r="AK2211" s="3"/>
      <c r="AL2211" s="3"/>
      <c r="AM2211" s="3"/>
      <c r="AN2211" s="3"/>
    </row>
    <row r="2212" spans="3:40">
      <c r="C2212" s="3"/>
      <c r="D2212" s="3"/>
      <c r="E2212" s="3"/>
      <c r="S2212" s="3"/>
      <c r="T2212" s="3"/>
      <c r="AI2212" s="3"/>
      <c r="AJ2212" s="3"/>
      <c r="AK2212" s="3"/>
      <c r="AL2212" s="3"/>
      <c r="AM2212" s="3"/>
      <c r="AN2212" s="3"/>
    </row>
    <row r="2213" spans="3:40">
      <c r="C2213" s="3"/>
      <c r="D2213" s="3"/>
      <c r="E2213" s="3"/>
      <c r="S2213" s="3"/>
      <c r="T2213" s="3"/>
      <c r="AI2213" s="3"/>
      <c r="AJ2213" s="3"/>
      <c r="AK2213" s="3"/>
      <c r="AL2213" s="3"/>
      <c r="AM2213" s="3"/>
      <c r="AN2213" s="3"/>
    </row>
    <row r="2214" spans="3:40">
      <c r="C2214" s="3"/>
      <c r="D2214" s="3"/>
      <c r="E2214" s="3"/>
      <c r="S2214" s="3"/>
      <c r="T2214" s="3"/>
      <c r="AI2214" s="3"/>
      <c r="AJ2214" s="3"/>
      <c r="AK2214" s="3"/>
      <c r="AL2214" s="3"/>
      <c r="AM2214" s="3"/>
      <c r="AN2214" s="3"/>
    </row>
    <row r="2215" spans="3:40">
      <c r="C2215" s="3"/>
      <c r="D2215" s="3"/>
      <c r="E2215" s="3"/>
      <c r="S2215" s="3"/>
      <c r="T2215" s="3"/>
      <c r="AI2215" s="3"/>
      <c r="AJ2215" s="3"/>
      <c r="AK2215" s="3"/>
      <c r="AL2215" s="3"/>
      <c r="AM2215" s="3"/>
      <c r="AN2215" s="3"/>
    </row>
    <row r="2216" spans="3:40">
      <c r="C2216" s="3"/>
      <c r="D2216" s="3"/>
      <c r="E2216" s="3"/>
      <c r="S2216" s="3"/>
      <c r="T2216" s="3"/>
      <c r="AI2216" s="3"/>
      <c r="AJ2216" s="3"/>
      <c r="AK2216" s="3"/>
      <c r="AL2216" s="3"/>
      <c r="AM2216" s="3"/>
      <c r="AN2216" s="3"/>
    </row>
    <row r="2217" spans="3:40">
      <c r="C2217" s="3"/>
      <c r="D2217" s="3"/>
      <c r="E2217" s="3"/>
      <c r="S2217" s="3"/>
      <c r="T2217" s="3"/>
      <c r="AI2217" s="3"/>
      <c r="AJ2217" s="3"/>
      <c r="AK2217" s="3"/>
      <c r="AL2217" s="3"/>
      <c r="AM2217" s="3"/>
      <c r="AN2217" s="3"/>
    </row>
    <row r="2218" spans="3:40">
      <c r="C2218" s="3"/>
      <c r="D2218" s="3"/>
      <c r="E2218" s="3"/>
      <c r="S2218" s="3"/>
      <c r="T2218" s="3"/>
      <c r="AI2218" s="3"/>
      <c r="AJ2218" s="3"/>
      <c r="AK2218" s="3"/>
      <c r="AL2218" s="3"/>
      <c r="AM2218" s="3"/>
      <c r="AN2218" s="3"/>
    </row>
    <row r="2219" spans="3:40">
      <c r="C2219" s="3"/>
      <c r="D2219" s="3"/>
      <c r="E2219" s="3"/>
      <c r="S2219" s="3"/>
      <c r="T2219" s="3"/>
      <c r="AI2219" s="3"/>
      <c r="AJ2219" s="3"/>
      <c r="AK2219" s="3"/>
      <c r="AL2219" s="3"/>
      <c r="AM2219" s="3"/>
      <c r="AN2219" s="3"/>
    </row>
    <row r="2220" spans="3:40">
      <c r="C2220" s="3"/>
      <c r="D2220" s="3"/>
      <c r="E2220" s="3"/>
      <c r="S2220" s="3"/>
      <c r="T2220" s="3"/>
      <c r="AI2220" s="3"/>
      <c r="AJ2220" s="3"/>
      <c r="AK2220" s="3"/>
      <c r="AL2220" s="3"/>
      <c r="AM2220" s="3"/>
      <c r="AN2220" s="3"/>
    </row>
    <row r="2221" spans="3:40">
      <c r="C2221" s="3"/>
      <c r="D2221" s="3"/>
      <c r="E2221" s="3"/>
      <c r="S2221" s="3"/>
      <c r="T2221" s="3"/>
      <c r="AI2221" s="3"/>
      <c r="AJ2221" s="3"/>
      <c r="AK2221" s="3"/>
      <c r="AL2221" s="3"/>
      <c r="AM2221" s="3"/>
      <c r="AN2221" s="3"/>
    </row>
    <row r="2222" spans="3:40">
      <c r="C2222" s="3"/>
      <c r="D2222" s="3"/>
      <c r="E2222" s="3"/>
      <c r="S2222" s="3"/>
      <c r="T2222" s="3"/>
      <c r="AI2222" s="3"/>
      <c r="AJ2222" s="3"/>
      <c r="AK2222" s="3"/>
      <c r="AL2222" s="3"/>
      <c r="AM2222" s="3"/>
      <c r="AN2222" s="3"/>
    </row>
    <row r="2223" spans="3:40">
      <c r="C2223" s="3"/>
      <c r="D2223" s="3"/>
      <c r="E2223" s="3"/>
      <c r="S2223" s="3"/>
      <c r="T2223" s="3"/>
      <c r="AI2223" s="3"/>
      <c r="AJ2223" s="3"/>
      <c r="AK2223" s="3"/>
      <c r="AL2223" s="3"/>
      <c r="AM2223" s="3"/>
      <c r="AN2223" s="3"/>
    </row>
    <row r="2224" spans="3:40">
      <c r="C2224" s="3"/>
      <c r="D2224" s="3"/>
      <c r="E2224" s="3"/>
      <c r="S2224" s="3"/>
      <c r="T2224" s="3"/>
      <c r="AI2224" s="3"/>
      <c r="AJ2224" s="3"/>
      <c r="AK2224" s="3"/>
      <c r="AL2224" s="3"/>
      <c r="AM2224" s="3"/>
      <c r="AN2224" s="3"/>
    </row>
    <row r="2225" spans="3:40">
      <c r="C2225" s="3"/>
      <c r="D2225" s="3"/>
      <c r="E2225" s="3"/>
      <c r="S2225" s="3"/>
      <c r="T2225" s="3"/>
      <c r="AI2225" s="3"/>
      <c r="AJ2225" s="3"/>
      <c r="AK2225" s="3"/>
      <c r="AL2225" s="3"/>
      <c r="AM2225" s="3"/>
      <c r="AN2225" s="3"/>
    </row>
    <row r="2226" spans="3:40">
      <c r="C2226" s="3"/>
      <c r="D2226" s="3"/>
      <c r="E2226" s="3"/>
      <c r="S2226" s="3"/>
      <c r="T2226" s="3"/>
      <c r="AI2226" s="3"/>
      <c r="AJ2226" s="3"/>
      <c r="AK2226" s="3"/>
      <c r="AL2226" s="3"/>
      <c r="AM2226" s="3"/>
      <c r="AN2226" s="3"/>
    </row>
    <row r="2227" spans="3:40">
      <c r="C2227" s="3"/>
      <c r="D2227" s="3"/>
      <c r="E2227" s="3"/>
      <c r="S2227" s="3"/>
      <c r="T2227" s="3"/>
      <c r="AI2227" s="3"/>
      <c r="AJ2227" s="3"/>
      <c r="AK2227" s="3"/>
      <c r="AL2227" s="3"/>
      <c r="AM2227" s="3"/>
      <c r="AN2227" s="3"/>
    </row>
    <row r="2228" spans="3:40">
      <c r="C2228" s="3"/>
      <c r="D2228" s="3"/>
      <c r="E2228" s="3"/>
      <c r="S2228" s="3"/>
      <c r="T2228" s="3"/>
      <c r="AI2228" s="3"/>
      <c r="AJ2228" s="3"/>
      <c r="AK2228" s="3"/>
      <c r="AL2228" s="3"/>
      <c r="AM2228" s="3"/>
      <c r="AN2228" s="3"/>
    </row>
    <row r="2229" spans="3:40">
      <c r="C2229" s="3"/>
      <c r="D2229" s="3"/>
      <c r="E2229" s="3"/>
      <c r="S2229" s="3"/>
      <c r="T2229" s="3"/>
      <c r="AI2229" s="3"/>
      <c r="AJ2229" s="3"/>
      <c r="AK2229" s="3"/>
      <c r="AL2229" s="3"/>
      <c r="AM2229" s="3"/>
      <c r="AN2229" s="3"/>
    </row>
    <row r="2230" spans="3:40">
      <c r="C2230" s="3"/>
      <c r="D2230" s="3"/>
      <c r="E2230" s="3"/>
      <c r="S2230" s="3"/>
      <c r="T2230" s="3"/>
      <c r="AI2230" s="3"/>
      <c r="AJ2230" s="3"/>
      <c r="AK2230" s="3"/>
      <c r="AL2230" s="3"/>
      <c r="AM2230" s="3"/>
      <c r="AN2230" s="3"/>
    </row>
    <row r="2231" spans="3:40">
      <c r="C2231" s="3"/>
      <c r="D2231" s="3"/>
      <c r="E2231" s="3"/>
      <c r="S2231" s="3"/>
      <c r="T2231" s="3"/>
      <c r="AI2231" s="3"/>
      <c r="AJ2231" s="3"/>
      <c r="AK2231" s="3"/>
      <c r="AL2231" s="3"/>
      <c r="AM2231" s="3"/>
      <c r="AN2231" s="3"/>
    </row>
    <row r="2232" spans="3:40">
      <c r="C2232" s="3"/>
      <c r="D2232" s="3"/>
      <c r="E2232" s="3"/>
      <c r="S2232" s="3"/>
      <c r="T2232" s="3"/>
      <c r="AI2232" s="3"/>
      <c r="AJ2232" s="3"/>
      <c r="AK2232" s="3"/>
      <c r="AL2232" s="3"/>
      <c r="AM2232" s="3"/>
      <c r="AN2232" s="3"/>
    </row>
    <row r="2233" spans="3:40">
      <c r="C2233" s="3"/>
      <c r="D2233" s="3"/>
      <c r="E2233" s="3"/>
      <c r="S2233" s="3"/>
      <c r="T2233" s="3"/>
      <c r="AI2233" s="3"/>
      <c r="AJ2233" s="3"/>
      <c r="AK2233" s="3"/>
      <c r="AL2233" s="3"/>
      <c r="AM2233" s="3"/>
      <c r="AN2233" s="3"/>
    </row>
    <row r="2234" spans="3:40">
      <c r="C2234" s="3"/>
      <c r="D2234" s="3"/>
      <c r="E2234" s="3"/>
      <c r="S2234" s="3"/>
      <c r="T2234" s="3"/>
      <c r="AI2234" s="3"/>
      <c r="AJ2234" s="3"/>
      <c r="AK2234" s="3"/>
      <c r="AL2234" s="3"/>
      <c r="AM2234" s="3"/>
      <c r="AN2234" s="3"/>
    </row>
    <row r="2235" spans="3:40">
      <c r="C2235" s="3"/>
      <c r="D2235" s="3"/>
      <c r="E2235" s="3"/>
      <c r="S2235" s="3"/>
      <c r="T2235" s="3"/>
      <c r="AI2235" s="3"/>
      <c r="AJ2235" s="3"/>
      <c r="AK2235" s="3"/>
      <c r="AL2235" s="3"/>
      <c r="AM2235" s="3"/>
      <c r="AN2235" s="3"/>
    </row>
    <row r="2236" spans="3:40">
      <c r="C2236" s="3"/>
      <c r="D2236" s="3"/>
      <c r="E2236" s="3"/>
      <c r="S2236" s="3"/>
      <c r="T2236" s="3"/>
      <c r="AI2236" s="3"/>
      <c r="AJ2236" s="3"/>
      <c r="AK2236" s="3"/>
      <c r="AL2236" s="3"/>
      <c r="AM2236" s="3"/>
      <c r="AN2236" s="3"/>
    </row>
    <row r="2237" spans="3:40">
      <c r="C2237" s="3"/>
      <c r="D2237" s="3"/>
      <c r="E2237" s="3"/>
      <c r="S2237" s="3"/>
      <c r="T2237" s="3"/>
      <c r="AI2237" s="3"/>
      <c r="AJ2237" s="3"/>
      <c r="AK2237" s="3"/>
      <c r="AL2237" s="3"/>
      <c r="AM2237" s="3"/>
      <c r="AN2237" s="3"/>
    </row>
    <row r="2238" spans="3:40">
      <c r="C2238" s="3"/>
      <c r="D2238" s="3"/>
      <c r="E2238" s="3"/>
      <c r="S2238" s="3"/>
      <c r="T2238" s="3"/>
      <c r="AI2238" s="3"/>
      <c r="AJ2238" s="3"/>
      <c r="AK2238" s="3"/>
      <c r="AL2238" s="3"/>
      <c r="AM2238" s="3"/>
      <c r="AN2238" s="3"/>
    </row>
    <row r="2239" spans="3:40">
      <c r="C2239" s="3"/>
      <c r="D2239" s="3"/>
      <c r="E2239" s="3"/>
      <c r="S2239" s="3"/>
      <c r="T2239" s="3"/>
      <c r="AI2239" s="3"/>
      <c r="AJ2239" s="3"/>
      <c r="AK2239" s="3"/>
      <c r="AL2239" s="3"/>
      <c r="AM2239" s="3"/>
      <c r="AN2239" s="3"/>
    </row>
    <row r="2240" spans="3:40">
      <c r="C2240" s="3"/>
      <c r="D2240" s="3"/>
      <c r="E2240" s="3"/>
      <c r="S2240" s="3"/>
      <c r="T2240" s="3"/>
      <c r="AI2240" s="3"/>
      <c r="AJ2240" s="3"/>
      <c r="AK2240" s="3"/>
      <c r="AL2240" s="3"/>
      <c r="AM2240" s="3"/>
      <c r="AN2240" s="3"/>
    </row>
    <row r="2241" spans="3:40">
      <c r="C2241" s="3"/>
      <c r="D2241" s="3"/>
      <c r="E2241" s="3"/>
      <c r="S2241" s="3"/>
      <c r="T2241" s="3"/>
      <c r="AI2241" s="3"/>
      <c r="AJ2241" s="3"/>
      <c r="AK2241" s="3"/>
      <c r="AL2241" s="3"/>
      <c r="AM2241" s="3"/>
      <c r="AN2241" s="3"/>
    </row>
    <row r="2242" spans="3:40">
      <c r="C2242" s="3"/>
      <c r="D2242" s="3"/>
      <c r="E2242" s="3"/>
      <c r="S2242" s="3"/>
      <c r="T2242" s="3"/>
      <c r="AI2242" s="3"/>
      <c r="AJ2242" s="3"/>
      <c r="AK2242" s="3"/>
      <c r="AL2242" s="3"/>
      <c r="AM2242" s="3"/>
      <c r="AN2242" s="3"/>
    </row>
    <row r="2243" spans="3:40">
      <c r="C2243" s="3"/>
      <c r="D2243" s="3"/>
      <c r="E2243" s="3"/>
      <c r="S2243" s="3"/>
      <c r="T2243" s="3"/>
      <c r="AI2243" s="3"/>
      <c r="AJ2243" s="3"/>
      <c r="AK2243" s="3"/>
      <c r="AL2243" s="3"/>
      <c r="AM2243" s="3"/>
      <c r="AN2243" s="3"/>
    </row>
    <row r="2244" spans="3:40">
      <c r="C2244" s="3"/>
      <c r="D2244" s="3"/>
      <c r="E2244" s="3"/>
      <c r="S2244" s="3"/>
      <c r="T2244" s="3"/>
      <c r="AI2244" s="3"/>
      <c r="AJ2244" s="3"/>
      <c r="AK2244" s="3"/>
      <c r="AL2244" s="3"/>
      <c r="AM2244" s="3"/>
      <c r="AN2244" s="3"/>
    </row>
    <row r="2245" spans="3:40">
      <c r="C2245" s="3"/>
      <c r="D2245" s="3"/>
      <c r="E2245" s="3"/>
      <c r="S2245" s="3"/>
      <c r="T2245" s="3"/>
      <c r="AI2245" s="3"/>
      <c r="AJ2245" s="3"/>
      <c r="AK2245" s="3"/>
      <c r="AL2245" s="3"/>
      <c r="AM2245" s="3"/>
      <c r="AN2245" s="3"/>
    </row>
    <row r="2246" spans="3:40">
      <c r="C2246" s="3"/>
      <c r="D2246" s="3"/>
      <c r="E2246" s="3"/>
      <c r="S2246" s="3"/>
      <c r="T2246" s="3"/>
      <c r="AI2246" s="3"/>
      <c r="AJ2246" s="3"/>
      <c r="AK2246" s="3"/>
      <c r="AL2246" s="3"/>
      <c r="AM2246" s="3"/>
      <c r="AN2246" s="3"/>
    </row>
    <row r="2247" spans="3:40">
      <c r="C2247" s="3"/>
      <c r="D2247" s="3"/>
      <c r="E2247" s="3"/>
      <c r="S2247" s="3"/>
      <c r="T2247" s="3"/>
      <c r="AI2247" s="3"/>
      <c r="AJ2247" s="3"/>
      <c r="AK2247" s="3"/>
      <c r="AL2247" s="3"/>
      <c r="AM2247" s="3"/>
      <c r="AN2247" s="3"/>
    </row>
    <row r="2248" spans="3:40">
      <c r="C2248" s="3"/>
      <c r="D2248" s="3"/>
      <c r="E2248" s="3"/>
      <c r="S2248" s="3"/>
      <c r="T2248" s="3"/>
      <c r="AI2248" s="3"/>
      <c r="AJ2248" s="3"/>
      <c r="AK2248" s="3"/>
      <c r="AL2248" s="3"/>
      <c r="AM2248" s="3"/>
      <c r="AN2248" s="3"/>
    </row>
    <row r="2249" spans="3:40">
      <c r="C2249" s="3"/>
      <c r="D2249" s="3"/>
      <c r="E2249" s="3"/>
      <c r="S2249" s="3"/>
      <c r="T2249" s="3"/>
      <c r="AI2249" s="3"/>
      <c r="AJ2249" s="3"/>
      <c r="AK2249" s="3"/>
      <c r="AL2249" s="3"/>
      <c r="AM2249" s="3"/>
      <c r="AN2249" s="3"/>
    </row>
    <row r="2250" spans="3:40">
      <c r="C2250" s="3"/>
      <c r="D2250" s="3"/>
      <c r="E2250" s="3"/>
      <c r="S2250" s="3"/>
      <c r="T2250" s="3"/>
      <c r="AI2250" s="3"/>
      <c r="AJ2250" s="3"/>
      <c r="AK2250" s="3"/>
      <c r="AL2250" s="3"/>
      <c r="AM2250" s="3"/>
      <c r="AN2250" s="3"/>
    </row>
    <row r="2251" spans="3:40">
      <c r="C2251" s="3"/>
      <c r="D2251" s="3"/>
      <c r="E2251" s="3"/>
      <c r="S2251" s="3"/>
      <c r="T2251" s="3"/>
      <c r="AI2251" s="3"/>
      <c r="AJ2251" s="3"/>
      <c r="AK2251" s="3"/>
      <c r="AL2251" s="3"/>
      <c r="AM2251" s="3"/>
      <c r="AN2251" s="3"/>
    </row>
    <row r="2252" spans="3:40">
      <c r="C2252" s="3"/>
      <c r="D2252" s="3"/>
      <c r="E2252" s="3"/>
      <c r="S2252" s="3"/>
      <c r="T2252" s="3"/>
      <c r="AI2252" s="3"/>
      <c r="AJ2252" s="3"/>
      <c r="AK2252" s="3"/>
      <c r="AL2252" s="3"/>
      <c r="AM2252" s="3"/>
      <c r="AN2252" s="3"/>
    </row>
    <row r="2253" spans="3:40">
      <c r="C2253" s="3"/>
      <c r="D2253" s="3"/>
      <c r="E2253" s="3"/>
      <c r="S2253" s="3"/>
      <c r="T2253" s="3"/>
      <c r="AI2253" s="3"/>
      <c r="AJ2253" s="3"/>
      <c r="AK2253" s="3"/>
      <c r="AL2253" s="3"/>
      <c r="AM2253" s="3"/>
      <c r="AN2253" s="3"/>
    </row>
    <row r="2254" spans="3:40">
      <c r="C2254" s="3"/>
      <c r="D2254" s="3"/>
      <c r="E2254" s="3"/>
      <c r="S2254" s="3"/>
      <c r="T2254" s="3"/>
      <c r="AI2254" s="3"/>
      <c r="AJ2254" s="3"/>
      <c r="AK2254" s="3"/>
      <c r="AL2254" s="3"/>
      <c r="AM2254" s="3"/>
      <c r="AN2254" s="3"/>
    </row>
    <row r="2255" spans="3:40">
      <c r="C2255" s="3"/>
      <c r="D2255" s="3"/>
      <c r="E2255" s="3"/>
      <c r="S2255" s="3"/>
      <c r="T2255" s="3"/>
      <c r="AI2255" s="3"/>
      <c r="AJ2255" s="3"/>
      <c r="AK2255" s="3"/>
      <c r="AL2255" s="3"/>
      <c r="AM2255" s="3"/>
      <c r="AN2255" s="3"/>
    </row>
    <row r="2256" spans="3:40">
      <c r="C2256" s="3"/>
      <c r="D2256" s="3"/>
      <c r="E2256" s="3"/>
      <c r="S2256" s="3"/>
      <c r="T2256" s="3"/>
      <c r="AI2256" s="3"/>
      <c r="AJ2256" s="3"/>
      <c r="AK2256" s="3"/>
      <c r="AL2256" s="3"/>
      <c r="AM2256" s="3"/>
      <c r="AN2256" s="3"/>
    </row>
    <row r="2257" spans="3:40">
      <c r="C2257" s="3"/>
      <c r="D2257" s="3"/>
      <c r="E2257" s="3"/>
      <c r="S2257" s="3"/>
      <c r="T2257" s="3"/>
      <c r="AI2257" s="3"/>
      <c r="AJ2257" s="3"/>
      <c r="AK2257" s="3"/>
      <c r="AL2257" s="3"/>
      <c r="AM2257" s="3"/>
      <c r="AN2257" s="3"/>
    </row>
    <row r="2258" spans="3:40">
      <c r="C2258" s="3"/>
      <c r="D2258" s="3"/>
      <c r="E2258" s="3"/>
      <c r="S2258" s="3"/>
      <c r="T2258" s="3"/>
      <c r="AI2258" s="3"/>
      <c r="AJ2258" s="3"/>
      <c r="AK2258" s="3"/>
      <c r="AL2258" s="3"/>
      <c r="AM2258" s="3"/>
      <c r="AN2258" s="3"/>
    </row>
    <row r="2259" spans="3:40">
      <c r="C2259" s="3"/>
      <c r="D2259" s="3"/>
      <c r="E2259" s="3"/>
      <c r="S2259" s="3"/>
      <c r="T2259" s="3"/>
      <c r="AI2259" s="3"/>
      <c r="AJ2259" s="3"/>
      <c r="AK2259" s="3"/>
      <c r="AL2259" s="3"/>
      <c r="AM2259" s="3"/>
      <c r="AN2259" s="3"/>
    </row>
    <row r="2260" spans="3:40">
      <c r="C2260" s="3"/>
      <c r="D2260" s="3"/>
      <c r="E2260" s="3"/>
      <c r="S2260" s="3"/>
      <c r="T2260" s="3"/>
      <c r="AI2260" s="3"/>
      <c r="AJ2260" s="3"/>
      <c r="AK2260" s="3"/>
      <c r="AL2260" s="3"/>
      <c r="AM2260" s="3"/>
      <c r="AN2260" s="3"/>
    </row>
    <row r="2261" spans="3:40">
      <c r="C2261" s="3"/>
      <c r="D2261" s="3"/>
      <c r="E2261" s="3"/>
      <c r="S2261" s="3"/>
      <c r="T2261" s="3"/>
      <c r="AI2261" s="3"/>
      <c r="AJ2261" s="3"/>
      <c r="AK2261" s="3"/>
      <c r="AL2261" s="3"/>
      <c r="AM2261" s="3"/>
      <c r="AN2261" s="3"/>
    </row>
    <row r="2262" spans="3:40">
      <c r="C2262" s="3"/>
      <c r="D2262" s="3"/>
      <c r="E2262" s="3"/>
      <c r="S2262" s="3"/>
      <c r="T2262" s="3"/>
      <c r="AI2262" s="3"/>
      <c r="AJ2262" s="3"/>
      <c r="AK2262" s="3"/>
      <c r="AL2262" s="3"/>
      <c r="AM2262" s="3"/>
      <c r="AN2262" s="3"/>
    </row>
    <row r="2263" spans="3:40">
      <c r="C2263" s="3"/>
      <c r="D2263" s="3"/>
      <c r="E2263" s="3"/>
      <c r="S2263" s="3"/>
      <c r="T2263" s="3"/>
      <c r="AI2263" s="3"/>
      <c r="AJ2263" s="3"/>
      <c r="AK2263" s="3"/>
      <c r="AL2263" s="3"/>
      <c r="AM2263" s="3"/>
      <c r="AN2263" s="3"/>
    </row>
    <row r="2264" spans="3:40">
      <c r="C2264" s="3"/>
      <c r="D2264" s="3"/>
      <c r="E2264" s="3"/>
      <c r="S2264" s="3"/>
      <c r="T2264" s="3"/>
      <c r="AI2264" s="3"/>
      <c r="AJ2264" s="3"/>
      <c r="AK2264" s="3"/>
      <c r="AL2264" s="3"/>
      <c r="AM2264" s="3"/>
      <c r="AN2264" s="3"/>
    </row>
    <row r="2265" spans="3:40">
      <c r="C2265" s="3"/>
      <c r="D2265" s="3"/>
      <c r="E2265" s="3"/>
      <c r="S2265" s="3"/>
      <c r="T2265" s="3"/>
      <c r="AI2265" s="3"/>
      <c r="AJ2265" s="3"/>
      <c r="AK2265" s="3"/>
      <c r="AL2265" s="3"/>
      <c r="AM2265" s="3"/>
      <c r="AN2265" s="3"/>
    </row>
    <row r="2266" spans="3:40">
      <c r="C2266" s="3"/>
      <c r="D2266" s="3"/>
      <c r="E2266" s="3"/>
      <c r="S2266" s="3"/>
      <c r="T2266" s="3"/>
      <c r="AI2266" s="3"/>
      <c r="AJ2266" s="3"/>
      <c r="AK2266" s="3"/>
      <c r="AL2266" s="3"/>
      <c r="AM2266" s="3"/>
      <c r="AN2266" s="3"/>
    </row>
    <row r="2267" spans="3:40">
      <c r="C2267" s="3"/>
      <c r="D2267" s="3"/>
      <c r="E2267" s="3"/>
      <c r="S2267" s="3"/>
      <c r="T2267" s="3"/>
      <c r="AI2267" s="3"/>
      <c r="AJ2267" s="3"/>
      <c r="AK2267" s="3"/>
      <c r="AL2267" s="3"/>
      <c r="AM2267" s="3"/>
      <c r="AN2267" s="3"/>
    </row>
    <row r="2268" spans="3:40">
      <c r="C2268" s="3"/>
      <c r="D2268" s="3"/>
      <c r="E2268" s="3"/>
      <c r="S2268" s="3"/>
      <c r="T2268" s="3"/>
      <c r="AI2268" s="3"/>
      <c r="AJ2268" s="3"/>
      <c r="AK2268" s="3"/>
      <c r="AL2268" s="3"/>
      <c r="AM2268" s="3"/>
      <c r="AN2268" s="3"/>
    </row>
    <row r="2269" spans="3:40">
      <c r="C2269" s="3"/>
      <c r="D2269" s="3"/>
      <c r="E2269" s="3"/>
      <c r="S2269" s="3"/>
      <c r="T2269" s="3"/>
      <c r="AI2269" s="3"/>
      <c r="AJ2269" s="3"/>
      <c r="AK2269" s="3"/>
      <c r="AL2269" s="3"/>
      <c r="AM2269" s="3"/>
      <c r="AN2269" s="3"/>
    </row>
    <row r="2270" spans="3:40">
      <c r="C2270" s="3"/>
      <c r="D2270" s="3"/>
      <c r="E2270" s="3"/>
      <c r="S2270" s="3"/>
      <c r="T2270" s="3"/>
      <c r="AI2270" s="3"/>
      <c r="AJ2270" s="3"/>
      <c r="AK2270" s="3"/>
      <c r="AL2270" s="3"/>
      <c r="AM2270" s="3"/>
      <c r="AN2270" s="3"/>
    </row>
    <row r="2271" spans="3:40">
      <c r="C2271" s="3"/>
      <c r="D2271" s="3"/>
      <c r="E2271" s="3"/>
      <c r="S2271" s="3"/>
      <c r="T2271" s="3"/>
      <c r="AI2271" s="3"/>
      <c r="AJ2271" s="3"/>
      <c r="AK2271" s="3"/>
      <c r="AL2271" s="3"/>
      <c r="AM2271" s="3"/>
      <c r="AN2271" s="3"/>
    </row>
    <row r="2272" spans="3:40">
      <c r="C2272" s="3"/>
      <c r="D2272" s="3"/>
      <c r="E2272" s="3"/>
      <c r="S2272" s="3"/>
      <c r="T2272" s="3"/>
      <c r="AI2272" s="3"/>
      <c r="AJ2272" s="3"/>
      <c r="AK2272" s="3"/>
      <c r="AL2272" s="3"/>
      <c r="AM2272" s="3"/>
      <c r="AN2272" s="3"/>
    </row>
    <row r="2273" spans="3:40">
      <c r="C2273" s="3"/>
      <c r="D2273" s="3"/>
      <c r="E2273" s="3"/>
      <c r="S2273" s="3"/>
      <c r="T2273" s="3"/>
      <c r="AI2273" s="3"/>
      <c r="AJ2273" s="3"/>
      <c r="AK2273" s="3"/>
      <c r="AL2273" s="3"/>
      <c r="AM2273" s="3"/>
      <c r="AN2273" s="3"/>
    </row>
  </sheetData>
  <mergeCells count="15">
    <mergeCell ref="AM4:AN4"/>
    <mergeCell ref="A87:B87"/>
    <mergeCell ref="A88:B88"/>
    <mergeCell ref="A4:A5"/>
    <mergeCell ref="B4:B5"/>
    <mergeCell ref="A6:AL6"/>
    <mergeCell ref="A21:AL21"/>
    <mergeCell ref="U4:X4"/>
    <mergeCell ref="AD4:AG4"/>
    <mergeCell ref="H4:K4"/>
    <mergeCell ref="C4:C5"/>
    <mergeCell ref="F4:G4"/>
    <mergeCell ref="Y4:AB4"/>
    <mergeCell ref="N4:S4"/>
    <mergeCell ref="AH4:AL4"/>
  </mergeCells>
  <pageMargins left="0.62992125984251968" right="0.35433070866141736" top="0.43307086614173229" bottom="0.39370078740157483" header="0.23622047244094491" footer="0.15748031496062992"/>
  <pageSetup paperSize="9" scale="60" fitToHeight="2" orientation="landscape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4:J24"/>
  <sheetViews>
    <sheetView workbookViewId="0">
      <selection activeCell="D15" sqref="D15"/>
    </sheetView>
  </sheetViews>
  <sheetFormatPr defaultRowHeight="15"/>
  <cols>
    <col min="2" max="2" width="29" customWidth="1"/>
    <col min="4" max="4" width="17.42578125" customWidth="1"/>
  </cols>
  <sheetData>
    <row r="4" spans="2:10" ht="30" customHeight="1">
      <c r="B4" s="570" t="s">
        <v>208</v>
      </c>
      <c r="C4" s="570"/>
      <c r="D4" s="570"/>
      <c r="E4" s="570"/>
      <c r="F4" s="570"/>
      <c r="G4" s="570"/>
      <c r="H4" s="205"/>
      <c r="I4" s="205"/>
      <c r="J4" s="205"/>
    </row>
    <row r="5" spans="2:10">
      <c r="B5" s="205"/>
      <c r="C5" s="205"/>
      <c r="D5" s="205"/>
      <c r="E5" s="205"/>
      <c r="F5" s="205"/>
      <c r="G5" s="205"/>
      <c r="H5" s="205"/>
      <c r="I5" s="205"/>
      <c r="J5" s="205"/>
    </row>
    <row r="6" spans="2:10" ht="30">
      <c r="B6" s="205" t="s">
        <v>254</v>
      </c>
      <c r="C6" s="205" t="s">
        <v>189</v>
      </c>
      <c r="D6" s="205"/>
      <c r="E6" s="205"/>
      <c r="F6" s="205"/>
      <c r="G6" s="205"/>
      <c r="H6" s="205"/>
      <c r="I6" s="205"/>
      <c r="J6" s="205"/>
    </row>
    <row r="7" spans="2:10" ht="60.75" thickBot="1">
      <c r="B7" s="205" t="s">
        <v>252</v>
      </c>
      <c r="C7" s="205">
        <v>82.762</v>
      </c>
      <c r="D7" s="205" t="s">
        <v>253</v>
      </c>
      <c r="E7" s="205"/>
      <c r="F7" s="205"/>
      <c r="G7" s="205"/>
      <c r="H7" s="205"/>
      <c r="I7" s="205"/>
      <c r="J7" s="205"/>
    </row>
    <row r="8" spans="2:10" ht="19.5" thickBot="1">
      <c r="B8" s="205" t="s">
        <v>255</v>
      </c>
      <c r="C8" s="231">
        <f>C7</f>
        <v>82.762</v>
      </c>
      <c r="D8" s="205"/>
      <c r="E8" s="205"/>
      <c r="F8" s="205"/>
      <c r="G8" s="205"/>
      <c r="H8" s="205"/>
      <c r="I8" s="205"/>
      <c r="J8" s="205"/>
    </row>
    <row r="9" spans="2:10">
      <c r="B9" s="205"/>
      <c r="C9" s="205"/>
      <c r="D9" s="205"/>
      <c r="E9" s="205"/>
      <c r="F9" s="205"/>
      <c r="G9" s="205"/>
      <c r="H9" s="205"/>
      <c r="I9" s="205"/>
      <c r="J9" s="205"/>
    </row>
    <row r="10" spans="2:10">
      <c r="B10" s="205"/>
      <c r="C10" s="205"/>
      <c r="D10" s="205"/>
      <c r="E10" s="205"/>
      <c r="F10" s="205"/>
      <c r="G10" s="205"/>
      <c r="H10" s="205"/>
      <c r="I10" s="205"/>
      <c r="J10" s="205"/>
    </row>
    <row r="11" spans="2:10">
      <c r="B11" s="205"/>
      <c r="C11" s="205"/>
      <c r="D11" s="205"/>
      <c r="E11" s="205"/>
      <c r="F11" s="205"/>
      <c r="G11" s="205"/>
      <c r="H11" s="205"/>
      <c r="I11" s="205"/>
      <c r="J11" s="205"/>
    </row>
    <row r="12" spans="2:10">
      <c r="B12" s="205"/>
      <c r="C12" s="205"/>
      <c r="D12" s="205"/>
      <c r="E12" s="205"/>
      <c r="F12" s="205"/>
      <c r="G12" s="205"/>
      <c r="H12" s="205"/>
      <c r="I12" s="205"/>
      <c r="J12" s="205"/>
    </row>
    <row r="13" spans="2:10">
      <c r="B13" s="205"/>
      <c r="C13" s="205"/>
      <c r="D13" s="205"/>
      <c r="E13" s="205"/>
      <c r="F13" s="205"/>
      <c r="G13" s="205"/>
      <c r="H13" s="205"/>
      <c r="I13" s="205"/>
      <c r="J13" s="205"/>
    </row>
    <row r="14" spans="2:10">
      <c r="B14" s="205"/>
      <c r="C14" s="205"/>
      <c r="D14" s="205"/>
      <c r="E14" s="205"/>
      <c r="F14" s="205"/>
      <c r="G14" s="205"/>
      <c r="H14" s="205"/>
      <c r="I14" s="205"/>
      <c r="J14" s="205"/>
    </row>
    <row r="15" spans="2:10">
      <c r="B15" s="205"/>
      <c r="C15" s="205"/>
      <c r="D15" s="205"/>
      <c r="E15" s="205"/>
      <c r="F15" s="205"/>
      <c r="G15" s="205"/>
      <c r="H15" s="205"/>
      <c r="I15" s="205"/>
      <c r="J15" s="205"/>
    </row>
    <row r="16" spans="2:10">
      <c r="B16" s="205"/>
      <c r="C16" s="205"/>
      <c r="D16" s="205"/>
      <c r="E16" s="205"/>
      <c r="F16" s="205"/>
      <c r="G16" s="205"/>
      <c r="H16" s="205"/>
      <c r="I16" s="205"/>
      <c r="J16" s="205"/>
    </row>
    <row r="17" spans="2:10">
      <c r="B17" s="205"/>
      <c r="C17" s="205"/>
      <c r="D17" s="205"/>
      <c r="E17" s="205"/>
      <c r="F17" s="205"/>
      <c r="G17" s="205"/>
      <c r="H17" s="205"/>
      <c r="I17" s="205"/>
      <c r="J17" s="205"/>
    </row>
    <row r="18" spans="2:10">
      <c r="B18" s="205"/>
      <c r="C18" s="205"/>
      <c r="D18" s="205"/>
      <c r="E18" s="205"/>
      <c r="F18" s="205"/>
      <c r="G18" s="205"/>
      <c r="H18" s="205"/>
      <c r="I18" s="205"/>
      <c r="J18" s="205"/>
    </row>
    <row r="19" spans="2:10">
      <c r="B19" s="205"/>
      <c r="C19" s="205"/>
      <c r="D19" s="205"/>
      <c r="E19" s="205"/>
      <c r="F19" s="205"/>
      <c r="G19" s="205"/>
      <c r="H19" s="205"/>
      <c r="I19" s="205"/>
      <c r="J19" s="205"/>
    </row>
    <row r="20" spans="2:10">
      <c r="B20" s="205"/>
      <c r="C20" s="205"/>
      <c r="D20" s="205"/>
      <c r="E20" s="205"/>
      <c r="F20" s="205"/>
      <c r="G20" s="205"/>
      <c r="H20" s="205"/>
      <c r="I20" s="205"/>
      <c r="J20" s="205"/>
    </row>
    <row r="21" spans="2:10">
      <c r="B21" s="205"/>
      <c r="C21" s="205"/>
      <c r="D21" s="205"/>
      <c r="E21" s="205"/>
      <c r="F21" s="205"/>
      <c r="G21" s="205"/>
      <c r="H21" s="205"/>
      <c r="I21" s="205"/>
      <c r="J21" s="205"/>
    </row>
    <row r="22" spans="2:10">
      <c r="B22" s="205"/>
      <c r="C22" s="205"/>
      <c r="D22" s="205"/>
      <c r="E22" s="205"/>
      <c r="F22" s="205"/>
      <c r="G22" s="205"/>
      <c r="H22" s="205"/>
      <c r="I22" s="205"/>
      <c r="J22" s="205"/>
    </row>
    <row r="23" spans="2:10">
      <c r="B23" s="205"/>
      <c r="C23" s="205"/>
      <c r="D23" s="205"/>
      <c r="E23" s="205"/>
      <c r="F23" s="205"/>
      <c r="G23" s="205"/>
      <c r="H23" s="205"/>
      <c r="I23" s="205"/>
      <c r="J23" s="205"/>
    </row>
    <row r="24" spans="2:10">
      <c r="B24" s="205"/>
      <c r="C24" s="205"/>
      <c r="D24" s="205"/>
      <c r="E24" s="205"/>
      <c r="F24" s="205"/>
      <c r="G24" s="205"/>
      <c r="H24" s="205"/>
      <c r="I24" s="205"/>
      <c r="J24" s="205"/>
    </row>
  </sheetData>
  <mergeCells count="1">
    <mergeCell ref="B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26"/>
  <sheetViews>
    <sheetView workbookViewId="0">
      <selection activeCell="C12" sqref="C12"/>
    </sheetView>
  </sheetViews>
  <sheetFormatPr defaultRowHeight="15"/>
  <cols>
    <col min="2" max="2" width="56.7109375" customWidth="1"/>
    <col min="3" max="3" width="16.85546875" customWidth="1"/>
  </cols>
  <sheetData>
    <row r="4" spans="1:12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>
      <c r="B5" s="205" t="s">
        <v>111</v>
      </c>
      <c r="C5" s="205" t="s">
        <v>271</v>
      </c>
      <c r="D5" s="205"/>
      <c r="E5" s="205"/>
      <c r="F5" s="205"/>
      <c r="G5" s="205"/>
      <c r="H5" s="205"/>
      <c r="I5" s="205"/>
      <c r="J5" s="205"/>
      <c r="K5" s="205"/>
      <c r="L5" s="205"/>
    </row>
    <row r="6" spans="1:12" ht="24" customHeight="1">
      <c r="A6" s="215">
        <v>1</v>
      </c>
      <c r="B6" s="232" t="s">
        <v>260</v>
      </c>
      <c r="C6" s="177">
        <v>44.4</v>
      </c>
      <c r="D6" s="205"/>
      <c r="E6" s="205"/>
      <c r="F6" s="205"/>
      <c r="G6" s="205"/>
      <c r="H6" s="205"/>
      <c r="I6" s="205"/>
      <c r="J6" s="205"/>
      <c r="K6" s="205"/>
      <c r="L6" s="205"/>
    </row>
    <row r="7" spans="1:12" ht="24" customHeight="1">
      <c r="A7" s="215">
        <v>2</v>
      </c>
      <c r="B7" s="232" t="s">
        <v>261</v>
      </c>
      <c r="C7" s="177">
        <v>10</v>
      </c>
      <c r="D7" s="205"/>
      <c r="E7" s="205"/>
      <c r="F7" s="205"/>
      <c r="G7" s="205"/>
      <c r="H7" s="205"/>
      <c r="I7" s="205"/>
      <c r="J7" s="205"/>
      <c r="K7" s="205"/>
      <c r="L7" s="205"/>
    </row>
    <row r="8" spans="1:12" ht="24" customHeight="1">
      <c r="A8" s="215">
        <v>3</v>
      </c>
      <c r="B8" s="232" t="s">
        <v>262</v>
      </c>
      <c r="C8" s="177">
        <v>0.56000000000000005</v>
      </c>
      <c r="D8" s="205"/>
      <c r="E8" s="205"/>
      <c r="F8" s="205"/>
      <c r="G8" s="205"/>
      <c r="H8" s="205"/>
      <c r="I8" s="205"/>
      <c r="J8" s="205"/>
      <c r="K8" s="205"/>
      <c r="L8" s="205"/>
    </row>
    <row r="9" spans="1:12" ht="24" customHeight="1">
      <c r="A9" s="215">
        <v>4</v>
      </c>
      <c r="B9" s="232" t="s">
        <v>263</v>
      </c>
      <c r="C9" s="177">
        <v>11.2</v>
      </c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24" customHeight="1">
      <c r="A10" s="215">
        <v>5</v>
      </c>
      <c r="B10" s="232" t="s">
        <v>264</v>
      </c>
      <c r="C10" s="177">
        <v>42.9</v>
      </c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ht="24" customHeight="1">
      <c r="A11" s="215">
        <v>6</v>
      </c>
      <c r="B11" s="232" t="s">
        <v>265</v>
      </c>
      <c r="C11" s="177">
        <v>26.15</v>
      </c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2" ht="24" customHeight="1">
      <c r="A12" s="215">
        <v>7</v>
      </c>
      <c r="B12" s="232" t="s">
        <v>266</v>
      </c>
      <c r="C12" s="177">
        <v>13.8</v>
      </c>
      <c r="D12" s="205"/>
      <c r="E12" s="205"/>
      <c r="F12" s="205"/>
      <c r="G12" s="205"/>
      <c r="H12" s="205"/>
      <c r="I12" s="205"/>
      <c r="J12" s="205"/>
      <c r="K12" s="205"/>
      <c r="L12" s="205"/>
    </row>
    <row r="13" spans="1:12" ht="24" customHeight="1">
      <c r="A13" s="215">
        <v>8</v>
      </c>
      <c r="B13" s="232" t="s">
        <v>267</v>
      </c>
      <c r="C13" s="177">
        <v>14.4</v>
      </c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24" customHeight="1">
      <c r="A14" s="215">
        <v>9</v>
      </c>
      <c r="B14" s="232" t="s">
        <v>268</v>
      </c>
      <c r="C14" s="177">
        <v>0.9</v>
      </c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24" customHeight="1">
      <c r="A15" s="215">
        <v>10</v>
      </c>
      <c r="B15" s="232" t="s">
        <v>269</v>
      </c>
      <c r="C15" s="177">
        <v>200</v>
      </c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24" customHeight="1">
      <c r="A16" s="215">
        <v>11</v>
      </c>
      <c r="B16" s="232" t="s">
        <v>270</v>
      </c>
      <c r="C16" s="177">
        <v>50</v>
      </c>
      <c r="D16" s="205"/>
      <c r="E16" s="205"/>
      <c r="F16" s="205"/>
      <c r="G16" s="205"/>
      <c r="H16" s="205"/>
      <c r="I16" s="205"/>
      <c r="J16" s="205"/>
      <c r="K16" s="205"/>
      <c r="L16" s="205"/>
    </row>
    <row r="17" spans="2:12"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2:12">
      <c r="B18" s="205" t="s">
        <v>110</v>
      </c>
      <c r="C18" s="177">
        <f>SUM(C6:C16)</f>
        <v>414.31000000000006</v>
      </c>
      <c r="D18" s="205"/>
      <c r="E18" s="205"/>
      <c r="F18" s="205"/>
      <c r="G18" s="205"/>
      <c r="H18" s="205"/>
      <c r="I18" s="205"/>
      <c r="J18" s="205"/>
      <c r="K18" s="205"/>
      <c r="L18" s="205"/>
    </row>
    <row r="19" spans="2:12" ht="15.75" thickBot="1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2:12" ht="19.5" thickBot="1">
      <c r="B20" s="233" t="s">
        <v>249</v>
      </c>
      <c r="C20" s="234">
        <f>C18*ФОТ!F73</f>
        <v>0</v>
      </c>
      <c r="D20" s="205"/>
      <c r="E20" s="205"/>
      <c r="F20" s="205"/>
      <c r="G20" s="205"/>
      <c r="H20" s="205"/>
      <c r="I20" s="205"/>
      <c r="J20" s="205"/>
      <c r="K20" s="205"/>
      <c r="L20" s="205"/>
    </row>
    <row r="21" spans="2:12" ht="19.5" thickBot="1">
      <c r="B21" s="224" t="s">
        <v>251</v>
      </c>
      <c r="C21" s="235">
        <f>C18*ФОТ!G73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</row>
    <row r="22" spans="2:12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12">
      <c r="B25" s="232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2:12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3:F12"/>
  <sheetViews>
    <sheetView workbookViewId="0">
      <selection activeCell="D17" sqref="D17"/>
    </sheetView>
  </sheetViews>
  <sheetFormatPr defaultRowHeight="15"/>
  <cols>
    <col min="1" max="1" width="3" style="387" customWidth="1"/>
    <col min="2" max="2" width="29.7109375" style="387" customWidth="1"/>
    <col min="3" max="3" width="20.28515625" style="387" customWidth="1"/>
    <col min="4" max="4" width="9.140625" style="387"/>
    <col min="5" max="5" width="14.5703125" style="387" bestFit="1" customWidth="1"/>
    <col min="6" max="6" width="20.85546875" style="387" customWidth="1"/>
    <col min="7" max="16384" width="9.140625" style="387"/>
  </cols>
  <sheetData>
    <row r="3" spans="2:6">
      <c r="C3" s="572" t="s">
        <v>388</v>
      </c>
      <c r="D3" s="571" t="s">
        <v>390</v>
      </c>
      <c r="E3" s="571"/>
      <c r="F3" s="572" t="s">
        <v>391</v>
      </c>
    </row>
    <row r="4" spans="2:6">
      <c r="C4" s="572"/>
      <c r="D4" s="387" t="s">
        <v>389</v>
      </c>
      <c r="E4" s="387" t="s">
        <v>343</v>
      </c>
      <c r="F4" s="572"/>
    </row>
    <row r="6" spans="2:6">
      <c r="B6" s="513" t="s">
        <v>384</v>
      </c>
      <c r="C6" s="387">
        <v>1247545.3799999999</v>
      </c>
      <c r="D6" s="387">
        <v>45091.98</v>
      </c>
      <c r="E6" s="387">
        <f>D6/6*12</f>
        <v>90183.96</v>
      </c>
      <c r="F6" s="387">
        <f>C6-E6</f>
        <v>1157361.42</v>
      </c>
    </row>
    <row r="7" spans="2:6" ht="30">
      <c r="B7" s="513" t="s">
        <v>385</v>
      </c>
      <c r="C7" s="387">
        <v>121975.44</v>
      </c>
      <c r="D7" s="387">
        <v>4408.74</v>
      </c>
      <c r="E7" s="387">
        <f t="shared" ref="E7:E11" si="0">D7/6*12</f>
        <v>8817.48</v>
      </c>
      <c r="F7" s="387">
        <f t="shared" ref="F7:F11" si="1">C7-E7</f>
        <v>113157.96</v>
      </c>
    </row>
    <row r="8" spans="2:6" ht="30">
      <c r="B8" s="513" t="s">
        <v>386</v>
      </c>
      <c r="C8" s="387">
        <v>8376</v>
      </c>
      <c r="D8" s="387">
        <v>69.8</v>
      </c>
      <c r="E8" s="387">
        <f t="shared" si="0"/>
        <v>139.6</v>
      </c>
      <c r="F8" s="387">
        <f t="shared" si="1"/>
        <v>8236.4</v>
      </c>
    </row>
    <row r="9" spans="2:6">
      <c r="B9" s="513" t="s">
        <v>387</v>
      </c>
      <c r="C9" s="387">
        <v>1620823.56</v>
      </c>
      <c r="D9" s="387">
        <v>56213.52</v>
      </c>
      <c r="E9" s="387">
        <f t="shared" si="0"/>
        <v>112427.04000000001</v>
      </c>
      <c r="F9" s="387">
        <f t="shared" si="1"/>
        <v>1508396.52</v>
      </c>
    </row>
    <row r="10" spans="2:6">
      <c r="B10" s="513" t="s">
        <v>384</v>
      </c>
      <c r="C10" s="387">
        <v>1281469.3400000001</v>
      </c>
      <c r="D10" s="387">
        <v>46318.14</v>
      </c>
      <c r="E10" s="387">
        <f t="shared" si="0"/>
        <v>92636.28</v>
      </c>
      <c r="F10" s="387">
        <f t="shared" si="1"/>
        <v>1188833.06</v>
      </c>
    </row>
    <row r="11" spans="2:6" ht="30">
      <c r="B11" s="513" t="s">
        <v>385</v>
      </c>
      <c r="C11" s="387">
        <v>121975.44</v>
      </c>
      <c r="D11" s="387">
        <v>4408.74</v>
      </c>
      <c r="E11" s="387">
        <f t="shared" si="0"/>
        <v>8817.48</v>
      </c>
      <c r="F11" s="387">
        <f t="shared" si="1"/>
        <v>113157.96</v>
      </c>
    </row>
    <row r="12" spans="2:6">
      <c r="B12" s="514" t="s">
        <v>110</v>
      </c>
      <c r="C12" s="515">
        <f>SUM(C6:C11)</f>
        <v>4402165.16</v>
      </c>
      <c r="D12" s="515"/>
      <c r="E12" s="515">
        <f>SUM(E6:E11)</f>
        <v>313021.83999999997</v>
      </c>
      <c r="F12" s="515">
        <f>SUM(F6:F11)</f>
        <v>4089143.32</v>
      </c>
    </row>
  </sheetData>
  <mergeCells count="3">
    <mergeCell ref="D3:E3"/>
    <mergeCell ref="C3:C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2022"/>
  <sheetViews>
    <sheetView topLeftCell="N72" zoomScale="85" zoomScaleNormal="85" workbookViewId="0">
      <selection activeCell="AB100" sqref="AB100"/>
    </sheetView>
  </sheetViews>
  <sheetFormatPr defaultRowHeight="15" outlineLevelCol="1"/>
  <cols>
    <col min="1" max="1" width="7" style="4" customWidth="1"/>
    <col min="2" max="2" width="44.5703125" style="2" customWidth="1"/>
    <col min="3" max="3" width="9.85546875" style="4" customWidth="1"/>
    <col min="4" max="5" width="11.140625" style="4" hidden="1" customWidth="1"/>
    <col min="6" max="6" width="13.28515625" style="2" hidden="1" customWidth="1"/>
    <col min="7" max="7" width="1.140625" style="3" hidden="1" customWidth="1"/>
    <col min="8" max="8" width="8.85546875" style="3" hidden="1" customWidth="1"/>
    <col min="9" max="10" width="9.85546875" style="2" hidden="1" customWidth="1"/>
    <col min="11" max="11" width="11.7109375" style="2" hidden="1" customWidth="1"/>
    <col min="12" max="12" width="21.42578125" style="3" hidden="1" customWidth="1"/>
    <col min="13" max="13" width="9.42578125" style="3" hidden="1" customWidth="1"/>
    <col min="14" max="14" width="12.85546875" style="3" customWidth="1"/>
    <col min="15" max="15" width="12.140625" style="3" hidden="1" customWidth="1"/>
    <col min="16" max="16" width="6.85546875" style="3" hidden="1" customWidth="1"/>
    <col min="17" max="17" width="12.28515625" style="3" hidden="1" customWidth="1"/>
    <col min="18" max="18" width="10.42578125" style="3" hidden="1" customWidth="1"/>
    <col min="19" max="19" width="12.140625" style="281" customWidth="1"/>
    <col min="20" max="20" width="12.140625" style="491" hidden="1" customWidth="1"/>
    <col min="21" max="21" width="10.5703125" style="3" hidden="1" customWidth="1" outlineLevel="1"/>
    <col min="22" max="22" width="10.85546875" style="2" hidden="1" customWidth="1" outlineLevel="1"/>
    <col min="23" max="23" width="7.28515625" style="2" hidden="1" customWidth="1" outlineLevel="1"/>
    <col min="24" max="24" width="11.7109375" style="2" hidden="1" customWidth="1" outlineLevel="1"/>
    <col min="25" max="25" width="13" style="3" customWidth="1" collapsed="1"/>
    <col min="26" max="26" width="11.85546875" style="2" hidden="1" customWidth="1"/>
    <col min="27" max="27" width="8.5703125" style="2" hidden="1" customWidth="1"/>
    <col min="28" max="28" width="12.5703125" style="2" customWidth="1"/>
    <col min="29" max="29" width="12.140625" style="2" customWidth="1"/>
    <col min="30" max="30" width="12.42578125" style="2" hidden="1" customWidth="1" outlineLevel="1"/>
    <col min="31" max="31" width="10.85546875" style="2" hidden="1" customWidth="1" outlineLevel="1"/>
    <col min="32" max="32" width="6.5703125" style="2" hidden="1" customWidth="1" outlineLevel="1"/>
    <col min="33" max="33" width="9.5703125" style="2" hidden="1" customWidth="1" outlineLevel="1"/>
    <col min="34" max="34" width="13" style="2" customWidth="1" collapsed="1"/>
    <col min="35" max="35" width="12.7109375" style="387" customWidth="1"/>
    <col min="36" max="36" width="13.42578125" style="387" customWidth="1"/>
    <col min="37" max="37" width="13" style="387" customWidth="1"/>
    <col min="38" max="38" width="9.7109375" style="387" customWidth="1"/>
    <col min="39" max="16384" width="9.140625" style="387"/>
  </cols>
  <sheetData>
    <row r="1" spans="1:39" hidden="1">
      <c r="B1" s="533" t="s">
        <v>321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291"/>
    </row>
    <row r="2" spans="1:39" hidden="1">
      <c r="B2" s="291"/>
      <c r="C2" s="292"/>
      <c r="D2" s="291"/>
      <c r="E2" s="291"/>
      <c r="F2" s="291"/>
      <c r="G2" s="291"/>
      <c r="H2" s="291"/>
      <c r="I2" s="291"/>
      <c r="J2" s="291"/>
      <c r="K2" s="291"/>
      <c r="L2" s="158"/>
      <c r="M2" s="158"/>
      <c r="N2" s="158"/>
      <c r="O2" s="158"/>
      <c r="P2" s="158"/>
      <c r="Q2" s="158"/>
      <c r="R2" s="158"/>
      <c r="S2" s="282"/>
      <c r="T2" s="492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</row>
    <row r="3" spans="1:39">
      <c r="B3" s="291"/>
      <c r="C3" s="292"/>
      <c r="D3" s="291"/>
      <c r="E3" s="291"/>
      <c r="F3" s="291"/>
      <c r="G3" s="291"/>
      <c r="H3" s="291"/>
      <c r="I3" s="291"/>
      <c r="J3" s="291"/>
      <c r="K3" s="291"/>
      <c r="L3" s="158"/>
      <c r="M3" s="158"/>
      <c r="N3" s="158"/>
      <c r="O3" s="158"/>
      <c r="P3" s="158"/>
      <c r="Q3" s="158"/>
      <c r="R3" s="158"/>
      <c r="S3" s="282"/>
      <c r="T3" s="492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</row>
    <row r="4" spans="1:39" ht="18.75">
      <c r="B4" s="314" t="s">
        <v>371</v>
      </c>
      <c r="C4" s="292"/>
      <c r="D4" s="291"/>
      <c r="E4" s="291"/>
      <c r="F4" s="291"/>
      <c r="G4" s="291"/>
      <c r="H4" s="291"/>
      <c r="I4" s="291"/>
      <c r="J4" s="291"/>
      <c r="K4" s="291"/>
      <c r="L4" s="158"/>
      <c r="M4" s="158"/>
      <c r="N4" s="158"/>
      <c r="O4" s="158"/>
      <c r="P4" s="158"/>
      <c r="Q4" s="158"/>
      <c r="R4" s="158"/>
      <c r="S4" s="282"/>
      <c r="T4" s="492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</row>
    <row r="5" spans="1:39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</row>
    <row r="6" spans="1:39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5"/>
      <c r="Y6" s="5"/>
    </row>
    <row r="7" spans="1:39" ht="25.5" customHeight="1">
      <c r="A7" s="523" t="s">
        <v>3</v>
      </c>
      <c r="B7" s="523" t="s">
        <v>320</v>
      </c>
      <c r="C7" s="524" t="s">
        <v>0</v>
      </c>
      <c r="D7" s="296" t="s">
        <v>155</v>
      </c>
      <c r="E7" s="296" t="s">
        <v>156</v>
      </c>
      <c r="F7" s="527" t="s">
        <v>77</v>
      </c>
      <c r="G7" s="527"/>
      <c r="H7" s="527" t="s">
        <v>78</v>
      </c>
      <c r="I7" s="527"/>
      <c r="J7" s="527"/>
      <c r="K7" s="527"/>
      <c r="L7" s="10"/>
      <c r="M7" s="10"/>
      <c r="N7" s="528" t="s">
        <v>364</v>
      </c>
      <c r="O7" s="529"/>
      <c r="P7" s="529"/>
      <c r="Q7" s="529"/>
      <c r="R7" s="529"/>
      <c r="S7" s="530"/>
      <c r="T7" s="410"/>
      <c r="U7" s="526" t="s">
        <v>323</v>
      </c>
      <c r="V7" s="526"/>
      <c r="W7" s="526"/>
      <c r="X7" s="526"/>
      <c r="Y7" s="526" t="s">
        <v>324</v>
      </c>
      <c r="Z7" s="526"/>
      <c r="AA7" s="526"/>
      <c r="AB7" s="526"/>
      <c r="AC7" s="526"/>
      <c r="AD7" s="526" t="s">
        <v>158</v>
      </c>
      <c r="AE7" s="526"/>
      <c r="AF7" s="526"/>
      <c r="AG7" s="526"/>
      <c r="AH7" s="526" t="s">
        <v>374</v>
      </c>
      <c r="AI7" s="526"/>
      <c r="AJ7" s="526"/>
      <c r="AK7" s="526"/>
      <c r="AL7" s="531" t="s">
        <v>381</v>
      </c>
      <c r="AM7" s="532"/>
    </row>
    <row r="8" spans="1:39" ht="51">
      <c r="A8" s="523"/>
      <c r="B8" s="524"/>
      <c r="C8" s="524"/>
      <c r="D8" s="6" t="s">
        <v>2</v>
      </c>
      <c r="E8" s="6" t="s">
        <v>174</v>
      </c>
      <c r="F8" s="7" t="s">
        <v>165</v>
      </c>
      <c r="G8" s="7" t="s">
        <v>174</v>
      </c>
      <c r="H8" s="7" t="s">
        <v>1</v>
      </c>
      <c r="I8" s="7" t="s">
        <v>153</v>
      </c>
      <c r="J8" s="7" t="s">
        <v>154</v>
      </c>
      <c r="K8" s="7" t="s">
        <v>187</v>
      </c>
      <c r="L8" s="7" t="s">
        <v>85</v>
      </c>
      <c r="M8" s="7" t="s">
        <v>318</v>
      </c>
      <c r="N8" s="7" t="s">
        <v>375</v>
      </c>
      <c r="O8" s="7" t="s">
        <v>72</v>
      </c>
      <c r="P8" s="298" t="s">
        <v>157</v>
      </c>
      <c r="Q8" s="7" t="s">
        <v>73</v>
      </c>
      <c r="R8" s="7" t="s">
        <v>319</v>
      </c>
      <c r="S8" s="7" t="s">
        <v>376</v>
      </c>
      <c r="T8" s="408"/>
      <c r="U8" s="294" t="s">
        <v>365</v>
      </c>
      <c r="V8" s="7" t="s">
        <v>74</v>
      </c>
      <c r="W8" s="298" t="s">
        <v>161</v>
      </c>
      <c r="X8" s="7" t="s">
        <v>75</v>
      </c>
      <c r="Y8" s="294" t="s">
        <v>378</v>
      </c>
      <c r="Z8" s="7" t="s">
        <v>74</v>
      </c>
      <c r="AA8" s="298" t="s">
        <v>161</v>
      </c>
      <c r="AB8" s="7" t="s">
        <v>75</v>
      </c>
      <c r="AC8" s="7" t="s">
        <v>332</v>
      </c>
      <c r="AD8" s="7" t="s">
        <v>365</v>
      </c>
      <c r="AE8" s="7" t="s">
        <v>159</v>
      </c>
      <c r="AF8" s="298" t="s">
        <v>162</v>
      </c>
      <c r="AG8" s="7" t="s">
        <v>160</v>
      </c>
      <c r="AH8" s="7" t="s">
        <v>85</v>
      </c>
      <c r="AI8" s="294" t="s">
        <v>365</v>
      </c>
      <c r="AJ8" s="7" t="s">
        <v>159</v>
      </c>
      <c r="AK8" s="7" t="s">
        <v>160</v>
      </c>
      <c r="AL8" s="408" t="s">
        <v>382</v>
      </c>
      <c r="AM8" s="470" t="s">
        <v>383</v>
      </c>
    </row>
    <row r="9" spans="1:39">
      <c r="A9" s="534" t="s">
        <v>362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408"/>
      <c r="AM9" s="471"/>
    </row>
    <row r="10" spans="1:39" ht="21" customHeight="1">
      <c r="A10" s="399"/>
      <c r="B10" s="400" t="s">
        <v>192</v>
      </c>
      <c r="C10" s="414" t="s">
        <v>11</v>
      </c>
      <c r="D10" s="401"/>
      <c r="E10" s="401"/>
      <c r="F10" s="401"/>
      <c r="G10" s="415"/>
      <c r="H10" s="401">
        <v>212</v>
      </c>
      <c r="I10" s="401">
        <f>H10/2</f>
        <v>106</v>
      </c>
      <c r="J10" s="401">
        <f>H10-I10</f>
        <v>106</v>
      </c>
      <c r="K10" s="401"/>
      <c r="L10" s="401">
        <f>H10</f>
        <v>212</v>
      </c>
      <c r="M10" s="401">
        <v>172.8</v>
      </c>
      <c r="N10" s="416">
        <f>L10</f>
        <v>212</v>
      </c>
      <c r="O10" s="417">
        <f>N10/2</f>
        <v>106</v>
      </c>
      <c r="P10" s="417"/>
      <c r="Q10" s="417">
        <f>O10</f>
        <v>106</v>
      </c>
      <c r="R10" s="417">
        <v>172.43</v>
      </c>
      <c r="S10" s="417">
        <v>230.8</v>
      </c>
      <c r="T10" s="417"/>
      <c r="U10" s="417">
        <f>V10+X10</f>
        <v>212</v>
      </c>
      <c r="V10" s="417">
        <f>Q10</f>
        <v>106</v>
      </c>
      <c r="W10" s="417"/>
      <c r="X10" s="417">
        <f>V10</f>
        <v>106</v>
      </c>
      <c r="Y10" s="417">
        <f>U10*0.95</f>
        <v>201.39999999999998</v>
      </c>
      <c r="Z10" s="417">
        <f>Y10/2</f>
        <v>100.69999999999999</v>
      </c>
      <c r="AA10" s="417"/>
      <c r="AB10" s="417">
        <f>Y10-Z10</f>
        <v>100.69999999999999</v>
      </c>
      <c r="AC10" s="451">
        <v>116.67</v>
      </c>
      <c r="AD10" s="417">
        <f>AE10+AG10</f>
        <v>212</v>
      </c>
      <c r="AE10" s="417">
        <f>X10</f>
        <v>106</v>
      </c>
      <c r="AF10" s="417"/>
      <c r="AG10" s="417">
        <f>AE10</f>
        <v>106</v>
      </c>
      <c r="AH10" s="451">
        <v>233.34</v>
      </c>
      <c r="AI10" s="417">
        <f>AI12</f>
        <v>201.39999999999998</v>
      </c>
      <c r="AJ10" s="417">
        <f>AI10/2</f>
        <v>100.69999999999999</v>
      </c>
      <c r="AK10" s="417">
        <f>AI10-AJ10</f>
        <v>100.69999999999999</v>
      </c>
      <c r="AL10" s="472">
        <f>AI10-Y10</f>
        <v>0</v>
      </c>
      <c r="AM10" s="472">
        <f>AH10-AD10</f>
        <v>21.340000000000003</v>
      </c>
    </row>
    <row r="11" spans="1:39" ht="18.75" customHeight="1">
      <c r="A11" s="7"/>
      <c r="B11" s="326" t="s">
        <v>41</v>
      </c>
      <c r="C11" s="295" t="s">
        <v>11</v>
      </c>
      <c r="D11" s="8"/>
      <c r="E11" s="8"/>
      <c r="F11" s="38"/>
      <c r="G11" s="8"/>
      <c r="H11" s="8">
        <v>212</v>
      </c>
      <c r="I11" s="8">
        <f>H11/2</f>
        <v>106</v>
      </c>
      <c r="J11" s="8">
        <f>H11-I11</f>
        <v>106</v>
      </c>
      <c r="K11" s="8"/>
      <c r="L11" s="8">
        <f>H11</f>
        <v>212</v>
      </c>
      <c r="M11" s="8">
        <v>172.8</v>
      </c>
      <c r="N11" s="371">
        <f>L11</f>
        <v>212</v>
      </c>
      <c r="O11" s="452">
        <f>N11/2</f>
        <v>106</v>
      </c>
      <c r="P11" s="452"/>
      <c r="Q11" s="452">
        <f>O11</f>
        <v>106</v>
      </c>
      <c r="R11" s="452">
        <v>172.43</v>
      </c>
      <c r="S11" s="452">
        <v>230.8</v>
      </c>
      <c r="T11" s="452"/>
      <c r="U11" s="452">
        <f>V11+X11</f>
        <v>212</v>
      </c>
      <c r="V11" s="452">
        <f>Q11</f>
        <v>106</v>
      </c>
      <c r="W11" s="452"/>
      <c r="X11" s="452">
        <f>V11</f>
        <v>106</v>
      </c>
      <c r="Y11" s="452">
        <f>U11*0.95</f>
        <v>201.39999999999998</v>
      </c>
      <c r="Z11" s="452">
        <f>Y11/2</f>
        <v>100.69999999999999</v>
      </c>
      <c r="AA11" s="452"/>
      <c r="AB11" s="452">
        <f>Y11-Z11</f>
        <v>100.69999999999999</v>
      </c>
      <c r="AC11" s="444">
        <v>116.67</v>
      </c>
      <c r="AD11" s="452">
        <f>AE11+AG11</f>
        <v>212</v>
      </c>
      <c r="AE11" s="452">
        <f>X11</f>
        <v>106</v>
      </c>
      <c r="AF11" s="452"/>
      <c r="AG11" s="452">
        <f>AE11</f>
        <v>106</v>
      </c>
      <c r="AH11" s="444">
        <v>233.34</v>
      </c>
      <c r="AI11" s="452">
        <f>AI12</f>
        <v>201.39999999999998</v>
      </c>
      <c r="AJ11" s="452">
        <f>AI11/2</f>
        <v>100.69999999999999</v>
      </c>
      <c r="AK11" s="452">
        <f>AI11-AJ11</f>
        <v>100.69999999999999</v>
      </c>
      <c r="AL11" s="511"/>
      <c r="AM11" s="471"/>
    </row>
    <row r="12" spans="1:39" s="395" customFormat="1" ht="31.5">
      <c r="A12" s="399"/>
      <c r="B12" s="402" t="s">
        <v>193</v>
      </c>
      <c r="C12" s="414" t="s">
        <v>11</v>
      </c>
      <c r="D12" s="401"/>
      <c r="E12" s="401"/>
      <c r="F12" s="401"/>
      <c r="G12" s="415"/>
      <c r="H12" s="401">
        <v>212</v>
      </c>
      <c r="I12" s="401">
        <f>H12/2</f>
        <v>106</v>
      </c>
      <c r="J12" s="401">
        <f>H12-I12</f>
        <v>106</v>
      </c>
      <c r="K12" s="401"/>
      <c r="L12" s="401">
        <f>H12</f>
        <v>212</v>
      </c>
      <c r="M12" s="401">
        <f>M14+M16+M18</f>
        <v>172.79999999999998</v>
      </c>
      <c r="N12" s="416">
        <f>L12</f>
        <v>212</v>
      </c>
      <c r="O12" s="417">
        <f>N12/2</f>
        <v>106</v>
      </c>
      <c r="P12" s="417"/>
      <c r="Q12" s="417">
        <f>O12</f>
        <v>106</v>
      </c>
      <c r="R12" s="417">
        <f>R14+R16+R18</f>
        <v>172.43</v>
      </c>
      <c r="S12" s="417">
        <v>230.8</v>
      </c>
      <c r="T12" s="417"/>
      <c r="U12" s="417">
        <f>V12+X12</f>
        <v>212</v>
      </c>
      <c r="V12" s="417">
        <f>Q12</f>
        <v>106</v>
      </c>
      <c r="W12" s="417"/>
      <c r="X12" s="417">
        <f>V12</f>
        <v>106</v>
      </c>
      <c r="Y12" s="417">
        <f>U12*0.95</f>
        <v>201.39999999999998</v>
      </c>
      <c r="Z12" s="417">
        <f>Y12/2</f>
        <v>100.69999999999999</v>
      </c>
      <c r="AA12" s="417"/>
      <c r="AB12" s="417">
        <f>Y12-Z12</f>
        <v>100.69999999999999</v>
      </c>
      <c r="AC12" s="451">
        <v>116.67</v>
      </c>
      <c r="AD12" s="417">
        <f>AE12+AG12</f>
        <v>212</v>
      </c>
      <c r="AE12" s="417">
        <f>X12</f>
        <v>106</v>
      </c>
      <c r="AF12" s="417"/>
      <c r="AG12" s="417">
        <f>AE12</f>
        <v>106</v>
      </c>
      <c r="AH12" s="451">
        <v>233.34</v>
      </c>
      <c r="AI12" s="417">
        <f>Y12</f>
        <v>201.39999999999998</v>
      </c>
      <c r="AJ12" s="417">
        <f>AI12/2</f>
        <v>100.69999999999999</v>
      </c>
      <c r="AK12" s="417">
        <f>AI12-AJ12</f>
        <v>100.69999999999999</v>
      </c>
      <c r="AL12" s="472">
        <f>AI12-Y12</f>
        <v>0</v>
      </c>
      <c r="AM12" s="472">
        <f>AI12-AD12</f>
        <v>-10.600000000000023</v>
      </c>
    </row>
    <row r="13" spans="1:39" ht="15.75">
      <c r="A13" s="7"/>
      <c r="B13" s="318" t="s">
        <v>195</v>
      </c>
      <c r="C13" s="295" t="s">
        <v>11</v>
      </c>
      <c r="D13" s="8"/>
      <c r="E13" s="8"/>
      <c r="F13" s="38"/>
      <c r="G13" s="8"/>
      <c r="H13" s="377"/>
      <c r="I13" s="15"/>
      <c r="J13" s="15"/>
      <c r="K13" s="8"/>
      <c r="L13" s="8"/>
      <c r="M13" s="8"/>
      <c r="N13" s="345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21"/>
      <c r="AD13" s="346"/>
      <c r="AE13" s="346"/>
      <c r="AF13" s="346"/>
      <c r="AG13" s="346"/>
      <c r="AH13" s="321"/>
      <c r="AI13" s="348">
        <f>AI12/Y12</f>
        <v>1</v>
      </c>
      <c r="AJ13" s="346"/>
      <c r="AK13" s="346"/>
      <c r="AL13" s="472"/>
      <c r="AM13" s="471"/>
    </row>
    <row r="14" spans="1:39" ht="15.75">
      <c r="A14" s="7"/>
      <c r="B14" s="318" t="s">
        <v>135</v>
      </c>
      <c r="C14" s="295" t="s">
        <v>11</v>
      </c>
      <c r="D14" s="15"/>
      <c r="E14" s="8"/>
      <c r="F14" s="38"/>
      <c r="G14" s="8"/>
      <c r="H14" s="8">
        <v>136</v>
      </c>
      <c r="I14" s="8">
        <f>H14/2</f>
        <v>68</v>
      </c>
      <c r="J14" s="8">
        <f>H14-I14</f>
        <v>68</v>
      </c>
      <c r="K14" s="8"/>
      <c r="L14" s="8">
        <f>H14</f>
        <v>136</v>
      </c>
      <c r="M14" s="8">
        <v>117.2</v>
      </c>
      <c r="N14" s="345">
        <f>L14</f>
        <v>136</v>
      </c>
      <c r="O14" s="346">
        <f>N14/2</f>
        <v>68</v>
      </c>
      <c r="P14" s="346"/>
      <c r="Q14" s="346">
        <f>O14</f>
        <v>68</v>
      </c>
      <c r="R14" s="346">
        <v>115.51</v>
      </c>
      <c r="S14" s="346">
        <v>154.5</v>
      </c>
      <c r="T14" s="346"/>
      <c r="U14" s="345">
        <f>V14+X14</f>
        <v>136</v>
      </c>
      <c r="V14" s="346">
        <f>Q14</f>
        <v>68</v>
      </c>
      <c r="W14" s="346"/>
      <c r="X14" s="345">
        <f>V14</f>
        <v>68</v>
      </c>
      <c r="Y14" s="346">
        <f>U14*0.95</f>
        <v>129.19999999999999</v>
      </c>
      <c r="Z14" s="346">
        <f>Y14/2</f>
        <v>64.599999999999994</v>
      </c>
      <c r="AA14" s="346"/>
      <c r="AB14" s="346">
        <f>Y14-Z14</f>
        <v>64.599999999999994</v>
      </c>
      <c r="AC14" s="321">
        <v>77.86</v>
      </c>
      <c r="AD14" s="345">
        <f>AE14+AG14</f>
        <v>136</v>
      </c>
      <c r="AE14" s="345">
        <f>X14</f>
        <v>68</v>
      </c>
      <c r="AF14" s="345"/>
      <c r="AG14" s="345">
        <f>AE14</f>
        <v>68</v>
      </c>
      <c r="AH14" s="321">
        <v>155.72</v>
      </c>
      <c r="AI14" s="345"/>
      <c r="AJ14" s="345">
        <f>AI14/2</f>
        <v>0</v>
      </c>
      <c r="AK14" s="345">
        <f>AI14-AJ14</f>
        <v>0</v>
      </c>
      <c r="AL14" s="472"/>
      <c r="AM14" s="471"/>
    </row>
    <row r="15" spans="1:39" ht="15" hidden="1" customHeight="1">
      <c r="A15" s="7"/>
      <c r="B15" s="385" t="s">
        <v>45</v>
      </c>
      <c r="C15" s="295" t="s">
        <v>7</v>
      </c>
      <c r="D15" s="8"/>
      <c r="E15" s="300"/>
      <c r="F15" s="38"/>
      <c r="G15" s="13"/>
      <c r="H15" s="300"/>
      <c r="I15" s="8"/>
      <c r="J15" s="8"/>
      <c r="K15" s="13"/>
      <c r="L15" s="13"/>
      <c r="M15" s="13"/>
      <c r="N15" s="347"/>
      <c r="O15" s="386"/>
      <c r="P15" s="349"/>
      <c r="Q15" s="348"/>
      <c r="R15" s="348"/>
      <c r="S15" s="348"/>
      <c r="T15" s="348"/>
      <c r="U15" s="347"/>
      <c r="V15" s="348"/>
      <c r="W15" s="348"/>
      <c r="X15" s="347"/>
      <c r="Y15" s="347"/>
      <c r="Z15" s="348"/>
      <c r="AA15" s="348"/>
      <c r="AB15" s="347"/>
      <c r="AC15" s="321"/>
      <c r="AD15" s="347"/>
      <c r="AE15" s="347"/>
      <c r="AF15" s="347"/>
      <c r="AG15" s="347"/>
      <c r="AH15" s="321"/>
      <c r="AI15" s="347"/>
      <c r="AJ15" s="347"/>
      <c r="AK15" s="347"/>
      <c r="AL15" s="472"/>
      <c r="AM15" s="471"/>
    </row>
    <row r="16" spans="1:39" s="389" customFormat="1" ht="15.75">
      <c r="A16" s="304"/>
      <c r="B16" s="318" t="s">
        <v>134</v>
      </c>
      <c r="C16" s="295" t="s">
        <v>11</v>
      </c>
      <c r="D16" s="15"/>
      <c r="E16" s="15"/>
      <c r="F16" s="38"/>
      <c r="G16" s="8"/>
      <c r="H16" s="8">
        <v>28</v>
      </c>
      <c r="I16" s="8">
        <f>H16/2</f>
        <v>14</v>
      </c>
      <c r="J16" s="8">
        <f>H16-I16</f>
        <v>14</v>
      </c>
      <c r="K16" s="8"/>
      <c r="L16" s="8">
        <f>H16</f>
        <v>28</v>
      </c>
      <c r="M16" s="8">
        <v>16</v>
      </c>
      <c r="N16" s="345">
        <f>L16</f>
        <v>28</v>
      </c>
      <c r="O16" s="346">
        <f>N16/2</f>
        <v>14</v>
      </c>
      <c r="P16" s="346"/>
      <c r="Q16" s="346">
        <f>O16</f>
        <v>14</v>
      </c>
      <c r="R16" s="346">
        <v>17.39</v>
      </c>
      <c r="S16" s="346">
        <v>23.7</v>
      </c>
      <c r="T16" s="346"/>
      <c r="U16" s="345">
        <f>V16+X16</f>
        <v>28</v>
      </c>
      <c r="V16" s="346">
        <f>Q16</f>
        <v>14</v>
      </c>
      <c r="W16" s="346"/>
      <c r="X16" s="345">
        <f>V16</f>
        <v>14</v>
      </c>
      <c r="Y16" s="346">
        <f>U16*0.95</f>
        <v>26.599999999999998</v>
      </c>
      <c r="Z16" s="346">
        <f>Y16/2</f>
        <v>13.299999999999999</v>
      </c>
      <c r="AA16" s="346"/>
      <c r="AB16" s="346">
        <f>Y16-Z16</f>
        <v>13.299999999999999</v>
      </c>
      <c r="AC16" s="321">
        <v>12.36</v>
      </c>
      <c r="AD16" s="345">
        <f>AE16+AG16</f>
        <v>28</v>
      </c>
      <c r="AE16" s="345">
        <f>X16</f>
        <v>14</v>
      </c>
      <c r="AF16" s="345"/>
      <c r="AG16" s="345">
        <f>AE16</f>
        <v>14</v>
      </c>
      <c r="AH16" s="321">
        <v>24.72</v>
      </c>
      <c r="AI16" s="345"/>
      <c r="AJ16" s="345">
        <f>AI16/2</f>
        <v>0</v>
      </c>
      <c r="AK16" s="345">
        <f>AI16-AJ16</f>
        <v>0</v>
      </c>
      <c r="AL16" s="472"/>
      <c r="AM16" s="473"/>
    </row>
    <row r="17" spans="1:39" s="390" customFormat="1" ht="16.5" hidden="1" customHeight="1">
      <c r="A17" s="7"/>
      <c r="B17" s="385" t="s">
        <v>45</v>
      </c>
      <c r="C17" s="295" t="s">
        <v>11</v>
      </c>
      <c r="D17" s="8"/>
      <c r="E17" s="8"/>
      <c r="F17" s="38"/>
      <c r="G17" s="8"/>
      <c r="H17" s="8"/>
      <c r="I17" s="8"/>
      <c r="J17" s="8"/>
      <c r="K17" s="8"/>
      <c r="L17" s="8"/>
      <c r="M17" s="8"/>
      <c r="N17" s="345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21"/>
      <c r="AD17" s="346"/>
      <c r="AE17" s="346"/>
      <c r="AF17" s="346"/>
      <c r="AG17" s="346"/>
      <c r="AH17" s="321"/>
      <c r="AI17" s="346"/>
      <c r="AJ17" s="346"/>
      <c r="AK17" s="346"/>
      <c r="AL17" s="472"/>
      <c r="AM17" s="474"/>
    </row>
    <row r="18" spans="1:39" s="390" customFormat="1" ht="16.5" customHeight="1">
      <c r="A18" s="7"/>
      <c r="B18" s="318" t="s">
        <v>194</v>
      </c>
      <c r="C18" s="295" t="s">
        <v>11</v>
      </c>
      <c r="D18" s="8"/>
      <c r="E18" s="8"/>
      <c r="F18" s="38"/>
      <c r="G18" s="8"/>
      <c r="H18" s="8">
        <v>48</v>
      </c>
      <c r="I18" s="8">
        <f>H18/2</f>
        <v>24</v>
      </c>
      <c r="J18" s="8">
        <f>H18-I18</f>
        <v>24</v>
      </c>
      <c r="K18" s="8"/>
      <c r="L18" s="8">
        <f>H18</f>
        <v>48</v>
      </c>
      <c r="M18" s="8">
        <v>39.6</v>
      </c>
      <c r="N18" s="345">
        <f>L18</f>
        <v>48</v>
      </c>
      <c r="O18" s="346">
        <f>N18/2</f>
        <v>24</v>
      </c>
      <c r="P18" s="346"/>
      <c r="Q18" s="346">
        <f>O18</f>
        <v>24</v>
      </c>
      <c r="R18" s="346">
        <v>39.53</v>
      </c>
      <c r="S18" s="346">
        <v>52.6</v>
      </c>
      <c r="T18" s="346"/>
      <c r="U18" s="346">
        <f>V18+X18</f>
        <v>48</v>
      </c>
      <c r="V18" s="346">
        <f>Q18</f>
        <v>24</v>
      </c>
      <c r="W18" s="346"/>
      <c r="X18" s="346">
        <f>V18</f>
        <v>24</v>
      </c>
      <c r="Y18" s="346">
        <f>U18*0.95</f>
        <v>45.599999999999994</v>
      </c>
      <c r="Z18" s="346">
        <f>Y18/2</f>
        <v>22.799999999999997</v>
      </c>
      <c r="AA18" s="346"/>
      <c r="AB18" s="346">
        <f>Y18-Z18</f>
        <v>22.799999999999997</v>
      </c>
      <c r="AC18" s="321">
        <v>26.45</v>
      </c>
      <c r="AD18" s="346">
        <f>AE18+AG18</f>
        <v>48</v>
      </c>
      <c r="AE18" s="346">
        <f>X18</f>
        <v>24</v>
      </c>
      <c r="AF18" s="346"/>
      <c r="AG18" s="346">
        <f>AE18</f>
        <v>24</v>
      </c>
      <c r="AH18" s="321">
        <v>52.9</v>
      </c>
      <c r="AI18" s="346"/>
      <c r="AJ18" s="346">
        <f>AI18/2</f>
        <v>0</v>
      </c>
      <c r="AK18" s="346">
        <f>AI18-AJ18</f>
        <v>0</v>
      </c>
      <c r="AL18" s="472"/>
      <c r="AM18" s="474"/>
    </row>
    <row r="19" spans="1:39" s="503" customFormat="1" ht="25.5" customHeight="1">
      <c r="A19" s="405"/>
      <c r="B19" s="403" t="s">
        <v>290</v>
      </c>
      <c r="C19" s="404" t="s">
        <v>11</v>
      </c>
      <c r="D19" s="181"/>
      <c r="E19" s="404"/>
      <c r="F19" s="181"/>
      <c r="G19" s="182"/>
      <c r="H19" s="182">
        <v>212</v>
      </c>
      <c r="I19" s="182">
        <f>H19/2</f>
        <v>106</v>
      </c>
      <c r="J19" s="182">
        <f>H19-I19</f>
        <v>106</v>
      </c>
      <c r="K19" s="182"/>
      <c r="L19" s="182">
        <f>H19</f>
        <v>212</v>
      </c>
      <c r="M19" s="182">
        <v>172.8</v>
      </c>
      <c r="N19" s="182">
        <f>L19</f>
        <v>212</v>
      </c>
      <c r="O19" s="495">
        <f>N19/2</f>
        <v>106</v>
      </c>
      <c r="P19" s="496"/>
      <c r="Q19" s="496">
        <f>O19</f>
        <v>106</v>
      </c>
      <c r="R19" s="496">
        <v>172.43</v>
      </c>
      <c r="S19" s="496">
        <v>230.8</v>
      </c>
      <c r="T19" s="496"/>
      <c r="U19" s="495">
        <f t="shared" ref="U19" si="0">V19+X19</f>
        <v>212</v>
      </c>
      <c r="V19" s="496">
        <f>Q19</f>
        <v>106</v>
      </c>
      <c r="W19" s="496"/>
      <c r="X19" s="495">
        <f t="shared" ref="X19" si="1">V19</f>
        <v>106</v>
      </c>
      <c r="Y19" s="497">
        <f>U19*0.95</f>
        <v>201.39999999999998</v>
      </c>
      <c r="Z19" s="498">
        <f>Y19/2</f>
        <v>100.69999999999999</v>
      </c>
      <c r="AA19" s="498"/>
      <c r="AB19" s="498">
        <f>Y19-Z19</f>
        <v>100.69999999999999</v>
      </c>
      <c r="AC19" s="499">
        <v>116.67</v>
      </c>
      <c r="AD19" s="500">
        <f>AE19+AG19</f>
        <v>212</v>
      </c>
      <c r="AE19" s="500">
        <f>X19</f>
        <v>106</v>
      </c>
      <c r="AF19" s="500"/>
      <c r="AG19" s="500">
        <f>AE19</f>
        <v>106</v>
      </c>
      <c r="AH19" s="499">
        <v>233.34</v>
      </c>
      <c r="AI19" s="500">
        <f>AI12</f>
        <v>201.39999999999998</v>
      </c>
      <c r="AJ19" s="500">
        <f>AI19/2</f>
        <v>100.69999999999999</v>
      </c>
      <c r="AK19" s="495">
        <f>AI19-AJ19</f>
        <v>100.69999999999999</v>
      </c>
      <c r="AL19" s="501"/>
      <c r="AM19" s="502"/>
    </row>
    <row r="20" spans="1:39" s="390" customFormat="1" ht="16.5" customHeight="1">
      <c r="A20" s="534" t="s">
        <v>363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472"/>
      <c r="AM20" s="474"/>
    </row>
    <row r="21" spans="1:39" s="391" customFormat="1" ht="15.75">
      <c r="A21" s="422" t="s">
        <v>369</v>
      </c>
      <c r="B21" s="423" t="s">
        <v>368</v>
      </c>
      <c r="C21" s="436" t="s">
        <v>4</v>
      </c>
      <c r="D21" s="424"/>
      <c r="E21" s="424"/>
      <c r="F21" s="424"/>
      <c r="G21" s="424"/>
      <c r="H21" s="424">
        <f>H23+H64+H75</f>
        <v>5124.9699999999993</v>
      </c>
      <c r="I21" s="424">
        <f>I23+I64+I75</f>
        <v>2459.2000000000003</v>
      </c>
      <c r="J21" s="424">
        <f>J23+J64+J75</f>
        <v>2665.77</v>
      </c>
      <c r="K21" s="424"/>
      <c r="L21" s="424">
        <f>L23+L64+L75</f>
        <v>5885.2057062600015</v>
      </c>
      <c r="M21" s="424"/>
      <c r="N21" s="453">
        <f>O21+Q21</f>
        <v>5213.7433222434638</v>
      </c>
      <c r="O21" s="453">
        <f>O23+O64+O75</f>
        <v>2546.4251798687346</v>
      </c>
      <c r="P21" s="453"/>
      <c r="Q21" s="453">
        <f>Q23+Q64+Q75</f>
        <v>2667.3181423747292</v>
      </c>
      <c r="R21" s="453">
        <f>R90</f>
        <v>3547.2499999999995</v>
      </c>
      <c r="S21" s="453">
        <v>4940</v>
      </c>
      <c r="T21" s="493">
        <f>S21-N21</f>
        <v>-273.74332224346381</v>
      </c>
      <c r="U21" s="453">
        <f>V21+X21</f>
        <v>5472.7562344073976</v>
      </c>
      <c r="V21" s="453">
        <f>V23+V64+V75</f>
        <v>2667.3181423747292</v>
      </c>
      <c r="W21" s="453"/>
      <c r="X21" s="453">
        <f>X23+X64+X75</f>
        <v>2805.4380920326685</v>
      </c>
      <c r="Y21" s="453">
        <f>Z21+AB21</f>
        <v>5364.371447192324</v>
      </c>
      <c r="Z21" s="453">
        <f>Z23+Z64+Z75</f>
        <v>2640.6206176860283</v>
      </c>
      <c r="AA21" s="453"/>
      <c r="AB21" s="453">
        <f>AB23+AB64+AB75</f>
        <v>2723.7508295062958</v>
      </c>
      <c r="AC21" s="454">
        <v>2781.24</v>
      </c>
      <c r="AD21" s="453">
        <f>AE21+AG21</f>
        <v>5728.4317095691122</v>
      </c>
      <c r="AE21" s="453">
        <f>AE23+AE64+AE75</f>
        <v>2805.4380920326685</v>
      </c>
      <c r="AF21" s="453"/>
      <c r="AG21" s="453">
        <f>AG23+AG64+AG75</f>
        <v>2922.9936175364437</v>
      </c>
      <c r="AH21" s="454">
        <f>AH23+AH64+AH75</f>
        <v>5593.06</v>
      </c>
      <c r="AI21" s="453">
        <f>AI23+AI64+AI75</f>
        <v>5560.8730992848414</v>
      </c>
      <c r="AJ21" s="453">
        <f>AJ23+AJ64+AJ75</f>
        <v>2725.7200912968956</v>
      </c>
      <c r="AK21" s="453">
        <f>AK23+AK64+AK75</f>
        <v>2835.1530079879462</v>
      </c>
      <c r="AL21" s="472">
        <f>AI21-Y21</f>
        <v>196.50165209251736</v>
      </c>
      <c r="AM21" s="472">
        <f>AI21-AD21</f>
        <v>-167.5586102842708</v>
      </c>
    </row>
    <row r="22" spans="1:39" s="392" customFormat="1" ht="15.75">
      <c r="A22" s="44"/>
      <c r="B22" s="321"/>
      <c r="C22" s="44"/>
      <c r="D22" s="44"/>
      <c r="E22" s="306"/>
      <c r="F22" s="38"/>
      <c r="G22" s="320"/>
      <c r="H22" s="320"/>
      <c r="I22" s="320"/>
      <c r="J22" s="320"/>
      <c r="K22" s="320"/>
      <c r="L22" s="306"/>
      <c r="M22" s="306"/>
      <c r="N22" s="308"/>
      <c r="O22" s="306"/>
      <c r="P22" s="306"/>
      <c r="Q22" s="306"/>
      <c r="R22" s="306"/>
      <c r="S22" s="306"/>
      <c r="T22" s="306"/>
      <c r="U22" s="309"/>
      <c r="V22" s="307"/>
      <c r="W22" s="307"/>
      <c r="X22" s="310"/>
      <c r="Y22" s="309"/>
      <c r="Z22" s="307"/>
      <c r="AA22" s="307"/>
      <c r="AB22" s="310"/>
      <c r="AC22" s="320"/>
      <c r="AD22" s="309"/>
      <c r="AE22" s="307"/>
      <c r="AF22" s="307"/>
      <c r="AG22" s="309"/>
      <c r="AH22" s="320"/>
      <c r="AI22" s="309"/>
      <c r="AJ22" s="307"/>
      <c r="AK22" s="309"/>
      <c r="AL22" s="472"/>
      <c r="AM22" s="476"/>
    </row>
    <row r="23" spans="1:39" s="413" customFormat="1" ht="15.75">
      <c r="A23" s="422" t="s">
        <v>16</v>
      </c>
      <c r="B23" s="423" t="s">
        <v>5</v>
      </c>
      <c r="C23" s="436" t="s">
        <v>31</v>
      </c>
      <c r="D23" s="424"/>
      <c r="E23" s="424"/>
      <c r="F23" s="424"/>
      <c r="G23" s="424"/>
      <c r="H23" s="424">
        <f>H30+H34+H35+H36+H38+H41+H42+H53+H55+H58+H63</f>
        <v>4612.2199999999993</v>
      </c>
      <c r="I23" s="424">
        <f>I30+I34+I35+I36+I38+I41+I42+I53+I55+I58+I63</f>
        <v>2212.1800000000003</v>
      </c>
      <c r="J23" s="424">
        <f>J30+J34+J35+J36+J38+J41+J42+J53+J55+J58+J63</f>
        <v>2400.0550000000003</v>
      </c>
      <c r="K23" s="424"/>
      <c r="L23" s="424">
        <f>L30+L34+L35+L36+L38+L41+L42+L53+L55+L58+L63</f>
        <v>5309.8747062600014</v>
      </c>
      <c r="M23" s="424">
        <f>M30+M34+M35+M36+M38+M41+M42+M49+M52+M53+M55+M58+M63</f>
        <v>2850.13</v>
      </c>
      <c r="N23" s="453">
        <f>O23+Q23</f>
        <v>4645.394930118764</v>
      </c>
      <c r="O23" s="453">
        <f>O30+O34+O36+O38+O41+O42+O53+O55+O58+O63+O35+O49+O52</f>
        <v>2271.5962258327345</v>
      </c>
      <c r="P23" s="453"/>
      <c r="Q23" s="453">
        <f>Q30+Q34+Q36+Q38+Q41+Q42+Q53+Q55+Q58+Q63+Q35+Q49+Q52</f>
        <v>2373.7987042860291</v>
      </c>
      <c r="R23" s="453">
        <f>R30+R34+R35+R36+R38+R41+R42+R49+R52+R53+R55+R58+R63</f>
        <v>3138.9399999999996</v>
      </c>
      <c r="S23" s="453">
        <v>4359</v>
      </c>
      <c r="T23" s="493">
        <f>S23-N23</f>
        <v>-286.39493011876402</v>
      </c>
      <c r="U23" s="453">
        <f>V23+X23</f>
        <v>4864.8630645637877</v>
      </c>
      <c r="V23" s="453">
        <f>Q23</f>
        <v>2373.7987042860291</v>
      </c>
      <c r="W23" s="453">
        <f>(1-U24)*(1+U25)*(1+U27)</f>
        <v>1.0494000000000001</v>
      </c>
      <c r="X23" s="453">
        <f>Q23*(1-U24)*(1+U25)*(1+U27)</f>
        <v>2491.0643602777591</v>
      </c>
      <c r="Y23" s="453">
        <f>Z23+AB23</f>
        <v>4817.8618502189238</v>
      </c>
      <c r="Z23" s="453">
        <f>Z28+Z37+Z48+Z54</f>
        <v>2373.7987042860286</v>
      </c>
      <c r="AA23" s="453">
        <f>(1*(1-Y24)*(1+Y25))</f>
        <v>1.0296000000000001</v>
      </c>
      <c r="AB23" s="453">
        <f>AB28+AB37+AB48+AB54</f>
        <v>2444.0631459328956</v>
      </c>
      <c r="AC23" s="454">
        <v>2426.5</v>
      </c>
      <c r="AD23" s="453">
        <f>AE23+AG23</f>
        <v>5080.5257627864894</v>
      </c>
      <c r="AE23" s="453">
        <f>X23</f>
        <v>2491.0643602777591</v>
      </c>
      <c r="AF23" s="453">
        <f>(1-AD24)*(1+AD25)*(1+AD27)</f>
        <v>1.0395000000000001</v>
      </c>
      <c r="AG23" s="453">
        <f>AE23*(1-AD24)*(1+AD25)*(1+AD27)</f>
        <v>2589.4614025087303</v>
      </c>
      <c r="AH23" s="454">
        <f>AH28+AH37+AH48+AH54</f>
        <v>4853</v>
      </c>
      <c r="AI23" s="453">
        <f>AJ23+AK23</f>
        <v>4984.9111924447334</v>
      </c>
      <c r="AJ23" s="453">
        <f>AJ28+AJ37+AJ48+AJ54</f>
        <v>2444.0631459328956</v>
      </c>
      <c r="AK23" s="453">
        <f>AK28+AK37+AK48+AK54</f>
        <v>2540.8480465118382</v>
      </c>
      <c r="AL23" s="472">
        <f>AI23-Y23</f>
        <v>167.0493422258096</v>
      </c>
      <c r="AM23" s="472">
        <f>AI23-AD23</f>
        <v>-95.614570341756007</v>
      </c>
    </row>
    <row r="24" spans="1:39" s="395" customFormat="1" ht="15.75">
      <c r="A24" s="16"/>
      <c r="B24" s="321" t="s">
        <v>6</v>
      </c>
      <c r="C24" s="295" t="s">
        <v>7</v>
      </c>
      <c r="D24" s="6"/>
      <c r="E24" s="6"/>
      <c r="F24" s="38"/>
      <c r="G24" s="6"/>
      <c r="H24" s="6"/>
      <c r="I24" s="8"/>
      <c r="J24" s="8"/>
      <c r="K24" s="6"/>
      <c r="L24" s="6"/>
      <c r="M24" s="6"/>
      <c r="N24" s="11"/>
      <c r="O24" s="11"/>
      <c r="P24" s="11"/>
      <c r="Q24" s="11">
        <v>0.01</v>
      </c>
      <c r="R24" s="11"/>
      <c r="S24" s="11"/>
      <c r="T24" s="11"/>
      <c r="U24" s="11">
        <v>0.01</v>
      </c>
      <c r="V24" s="12"/>
      <c r="W24" s="12"/>
      <c r="X24" s="311"/>
      <c r="Y24" s="11">
        <v>0.01</v>
      </c>
      <c r="Z24" s="12"/>
      <c r="AA24" s="12"/>
      <c r="AB24" s="311"/>
      <c r="AC24" s="394"/>
      <c r="AD24" s="11">
        <v>0.01</v>
      </c>
      <c r="AE24" s="11"/>
      <c r="AF24" s="11"/>
      <c r="AG24" s="11"/>
      <c r="AH24" s="394"/>
      <c r="AI24" s="11">
        <v>0.01</v>
      </c>
      <c r="AJ24" s="12">
        <f>(1-AI24)*(+AI25)</f>
        <v>3.9600000000000003E-2</v>
      </c>
      <c r="AK24" s="311">
        <f>AK23/AJ23</f>
        <v>1.0396000000000001</v>
      </c>
      <c r="AL24" s="472"/>
      <c r="AM24" s="394"/>
    </row>
    <row r="25" spans="1:39" s="395" customFormat="1" ht="15.75">
      <c r="A25" s="16"/>
      <c r="B25" s="321" t="s">
        <v>366</v>
      </c>
      <c r="C25" s="295" t="s">
        <v>7</v>
      </c>
      <c r="D25" s="6"/>
      <c r="E25" s="6"/>
      <c r="F25" s="38"/>
      <c r="G25" s="6"/>
      <c r="H25" s="6"/>
      <c r="I25" s="8"/>
      <c r="J25" s="8"/>
      <c r="K25" s="6"/>
      <c r="L25" s="6"/>
      <c r="M25" s="6"/>
      <c r="N25" s="13"/>
      <c r="O25" s="13"/>
      <c r="P25" s="13"/>
      <c r="Q25" s="13">
        <v>6.4000000000000001E-2</v>
      </c>
      <c r="R25" s="13"/>
      <c r="S25" s="13"/>
      <c r="T25" s="13"/>
      <c r="U25" s="13">
        <v>0.06</v>
      </c>
      <c r="V25" s="13"/>
      <c r="W25" s="13"/>
      <c r="X25" s="13"/>
      <c r="Y25" s="13">
        <v>0.04</v>
      </c>
      <c r="Z25" s="13"/>
      <c r="AA25" s="13"/>
      <c r="AB25" s="13"/>
      <c r="AC25" s="394"/>
      <c r="AD25" s="13">
        <v>0.05</v>
      </c>
      <c r="AE25" s="13"/>
      <c r="AF25" s="13"/>
      <c r="AG25" s="13"/>
      <c r="AH25" s="394"/>
      <c r="AI25" s="13">
        <v>0.04</v>
      </c>
      <c r="AJ25" s="13"/>
      <c r="AK25" s="13"/>
      <c r="AL25" s="472"/>
      <c r="AM25" s="394"/>
    </row>
    <row r="26" spans="1:39" s="395" customFormat="1" ht="15.75">
      <c r="A26" s="16"/>
      <c r="B26" s="326" t="s">
        <v>377</v>
      </c>
      <c r="C26" s="295" t="s">
        <v>7</v>
      </c>
      <c r="D26" s="6"/>
      <c r="E26" s="6"/>
      <c r="F26" s="38"/>
      <c r="G26" s="6"/>
      <c r="H26" s="6"/>
      <c r="I26" s="8"/>
      <c r="J26" s="8"/>
      <c r="K26" s="6"/>
      <c r="L26" s="6"/>
      <c r="M26" s="6"/>
      <c r="N26" s="14"/>
      <c r="O26" s="279"/>
      <c r="P26" s="14"/>
      <c r="Q26" s="14">
        <v>7.4999999999999997E-2</v>
      </c>
      <c r="R26" s="14"/>
      <c r="S26" s="14"/>
      <c r="T26" s="14"/>
      <c r="U26" s="14">
        <v>7.0000000000000007E-2</v>
      </c>
      <c r="V26" s="279"/>
      <c r="W26" s="279"/>
      <c r="X26" s="14"/>
      <c r="Y26" s="14">
        <v>5.0999999999999997E-2</v>
      </c>
      <c r="Z26" s="279"/>
      <c r="AA26" s="279"/>
      <c r="AB26" s="14"/>
      <c r="AC26" s="394"/>
      <c r="AD26" s="14">
        <v>6.2E-2</v>
      </c>
      <c r="AE26" s="279"/>
      <c r="AF26" s="279"/>
      <c r="AG26" s="10"/>
      <c r="AH26" s="394"/>
      <c r="AI26" s="14">
        <v>4.7E-2</v>
      </c>
      <c r="AJ26" s="384"/>
      <c r="AK26" s="10"/>
      <c r="AL26" s="472"/>
      <c r="AM26" s="394"/>
    </row>
    <row r="27" spans="1:39" s="396" customFormat="1" ht="31.5">
      <c r="A27" s="16"/>
      <c r="B27" s="323" t="s">
        <v>373</v>
      </c>
      <c r="C27" s="295" t="s">
        <v>7</v>
      </c>
      <c r="D27" s="6"/>
      <c r="E27" s="6"/>
      <c r="F27" s="38"/>
      <c r="G27" s="6"/>
      <c r="H27" s="6"/>
      <c r="I27" s="8"/>
      <c r="J27" s="8"/>
      <c r="K27" s="8"/>
      <c r="L27" s="6"/>
      <c r="M27" s="6"/>
      <c r="N27" s="6"/>
      <c r="O27" s="6"/>
      <c r="P27" s="6"/>
      <c r="Q27" s="6">
        <v>0</v>
      </c>
      <c r="R27" s="6"/>
      <c r="S27" s="6"/>
      <c r="T27" s="409"/>
      <c r="U27" s="6">
        <v>0</v>
      </c>
      <c r="V27" s="6">
        <v>0</v>
      </c>
      <c r="W27" s="6"/>
      <c r="X27" s="6">
        <v>0</v>
      </c>
      <c r="Y27" s="6">
        <v>0</v>
      </c>
      <c r="Z27" s="8">
        <f>2373.8-Z23</f>
        <v>1.2957139715581434E-3</v>
      </c>
      <c r="AA27" s="6"/>
      <c r="AB27" s="8">
        <f>2444.06-AB23</f>
        <v>-3.145932895677106E-3</v>
      </c>
      <c r="AC27" s="320"/>
      <c r="AD27" s="6">
        <v>0</v>
      </c>
      <c r="AE27" s="8">
        <f>2491.06-AE23</f>
        <v>-4.3602777591331687E-3</v>
      </c>
      <c r="AF27" s="6"/>
      <c r="AG27" s="38">
        <f>2589.46-AG23</f>
        <v>-1.4025087302798056E-3</v>
      </c>
      <c r="AH27" s="320"/>
      <c r="AI27" s="6">
        <v>0</v>
      </c>
      <c r="AJ27" s="6"/>
      <c r="AK27" s="35"/>
      <c r="AL27" s="472"/>
      <c r="AM27" s="320"/>
    </row>
    <row r="28" spans="1:39" s="440" customFormat="1" ht="15.75">
      <c r="A28" s="418" t="s">
        <v>17</v>
      </c>
      <c r="B28" s="324" t="s">
        <v>12</v>
      </c>
      <c r="C28" s="297"/>
      <c r="D28" s="297"/>
      <c r="E28" s="297"/>
      <c r="F28" s="168"/>
      <c r="G28" s="15"/>
      <c r="H28" s="15"/>
      <c r="I28" s="15"/>
      <c r="J28" s="15"/>
      <c r="K28" s="15"/>
      <c r="L28" s="15"/>
      <c r="M28" s="15"/>
      <c r="N28" s="15"/>
      <c r="O28" s="362"/>
      <c r="P28" s="362"/>
      <c r="Q28" s="362"/>
      <c r="R28" s="362"/>
      <c r="S28" s="362">
        <v>1789</v>
      </c>
      <c r="T28" s="362"/>
      <c r="U28" s="362"/>
      <c r="V28" s="362"/>
      <c r="W28" s="362"/>
      <c r="X28" s="362"/>
      <c r="Y28" s="432">
        <f>Y29+Y30+Y34+Y35+Y36</f>
        <v>1774.3249779486412</v>
      </c>
      <c r="Z28" s="432">
        <f>Z29+Z30+Z34+Z35+Z36</f>
        <v>874.22397415679995</v>
      </c>
      <c r="AA28" s="362"/>
      <c r="AB28" s="432">
        <f>AB29+AB30+AB34+AB35+AB36</f>
        <v>900.10100379184132</v>
      </c>
      <c r="AC28" s="438">
        <v>916.9</v>
      </c>
      <c r="AD28" s="362"/>
      <c r="AE28" s="362"/>
      <c r="AF28" s="362"/>
      <c r="AG28" s="439"/>
      <c r="AH28" s="438">
        <v>1833.8</v>
      </c>
      <c r="AI28" s="464">
        <f t="shared" ref="AI28:AK28" si="2">AI29+AI30+AI34+AI35+AI36</f>
        <v>1835.8460073338397</v>
      </c>
      <c r="AJ28" s="455">
        <f t="shared" si="2"/>
        <v>900.10100379184132</v>
      </c>
      <c r="AK28" s="455">
        <f t="shared" si="2"/>
        <v>935.74500354199824</v>
      </c>
      <c r="AL28" s="472">
        <f>AI28-Y28</f>
        <v>61.521029385198517</v>
      </c>
      <c r="AM28" s="472"/>
    </row>
    <row r="29" spans="1:39" s="396" customFormat="1" ht="15.75">
      <c r="A29" s="428" t="s">
        <v>37</v>
      </c>
      <c r="B29" s="316" t="s">
        <v>48</v>
      </c>
      <c r="C29" s="45" t="s">
        <v>4</v>
      </c>
      <c r="D29" s="45"/>
      <c r="E29" s="45"/>
      <c r="F29" s="38"/>
      <c r="G29" s="15"/>
      <c r="H29" s="8"/>
      <c r="I29" s="8"/>
      <c r="J29" s="8"/>
      <c r="K29" s="8"/>
      <c r="L29" s="15"/>
      <c r="M29" s="15"/>
      <c r="N29" s="8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21"/>
      <c r="AD29" s="345"/>
      <c r="AE29" s="345"/>
      <c r="AF29" s="345"/>
      <c r="AG29" s="363"/>
      <c r="AH29" s="321"/>
      <c r="AI29" s="345"/>
      <c r="AJ29" s="345"/>
      <c r="AK29" s="363"/>
      <c r="AL29" s="472"/>
      <c r="AM29" s="320"/>
    </row>
    <row r="30" spans="1:39" s="396" customFormat="1" ht="15.75">
      <c r="A30" s="428" t="s">
        <v>37</v>
      </c>
      <c r="B30" s="321" t="s">
        <v>59</v>
      </c>
      <c r="C30" s="45" t="s">
        <v>4</v>
      </c>
      <c r="D30" s="15"/>
      <c r="E30" s="15"/>
      <c r="F30" s="168"/>
      <c r="G30" s="15"/>
      <c r="H30" s="15">
        <v>1094.5999999999999</v>
      </c>
      <c r="I30" s="15">
        <v>532.65</v>
      </c>
      <c r="J30" s="15">
        <v>561.95000000000005</v>
      </c>
      <c r="K30" s="15"/>
      <c r="L30" s="15">
        <f>L31*L32*12/1000</f>
        <v>1236.2803200000003</v>
      </c>
      <c r="M30" s="15">
        <v>933</v>
      </c>
      <c r="N30" s="15">
        <f>O30+Q30</f>
        <v>1159.8557184000001</v>
      </c>
      <c r="O30" s="362">
        <f>O31*O32*6/1000</f>
        <v>561.94560000000013</v>
      </c>
      <c r="P30" s="364">
        <v>1.0640000000000001</v>
      </c>
      <c r="Q30" s="362">
        <f>Q31*Q32*6/1000</f>
        <v>597.91011839999999</v>
      </c>
      <c r="R30" s="362">
        <v>1000.43</v>
      </c>
      <c r="S30" s="362">
        <v>1350</v>
      </c>
      <c r="T30" s="493">
        <f>S30-N30</f>
        <v>190.14428159999989</v>
      </c>
      <c r="U30" s="362"/>
      <c r="V30" s="345">
        <f>S30</f>
        <v>1350</v>
      </c>
      <c r="W30" s="364">
        <v>1.06</v>
      </c>
      <c r="X30" s="345"/>
      <c r="Y30" s="433">
        <f>Z30+AB30</f>
        <v>1213.51837630464</v>
      </c>
      <c r="Z30" s="345">
        <f>Q30</f>
        <v>597.91011839999999</v>
      </c>
      <c r="AA30" s="364">
        <v>1.06</v>
      </c>
      <c r="AB30" s="345">
        <f>Z30*$AA$23</f>
        <v>615.60825790464003</v>
      </c>
      <c r="AC30" s="321">
        <v>675.67</v>
      </c>
      <c r="AD30" s="345" t="s">
        <v>40</v>
      </c>
      <c r="AE30" s="345"/>
      <c r="AF30" s="364">
        <v>1.05</v>
      </c>
      <c r="AG30" s="363"/>
      <c r="AH30" s="321">
        <v>1351.34</v>
      </c>
      <c r="AI30" s="433">
        <f>AJ30+AK30</f>
        <v>1255.5946028223038</v>
      </c>
      <c r="AJ30" s="345">
        <f>AB30</f>
        <v>615.60825790464003</v>
      </c>
      <c r="AK30" s="465">
        <f>AJ30*$AJ$24+AJ30</f>
        <v>639.98634491766381</v>
      </c>
      <c r="AL30" s="472"/>
      <c r="AM30" s="320"/>
    </row>
    <row r="31" spans="1:39" s="397" customFormat="1" ht="15.75">
      <c r="A31" s="429"/>
      <c r="B31" s="325" t="s">
        <v>13</v>
      </c>
      <c r="C31" s="45" t="s">
        <v>50</v>
      </c>
      <c r="D31" s="36"/>
      <c r="E31" s="36"/>
      <c r="F31" s="182"/>
      <c r="G31" s="36"/>
      <c r="H31" s="37">
        <v>8</v>
      </c>
      <c r="I31" s="36">
        <v>8</v>
      </c>
      <c r="J31" s="36">
        <v>8</v>
      </c>
      <c r="K31" s="36"/>
      <c r="L31" s="36">
        <f>J31</f>
        <v>8</v>
      </c>
      <c r="M31" s="36">
        <v>8</v>
      </c>
      <c r="N31" s="36">
        <f>J31</f>
        <v>8</v>
      </c>
      <c r="O31" s="351">
        <f>L31</f>
        <v>8</v>
      </c>
      <c r="P31" s="365"/>
      <c r="Q31" s="365">
        <f>L31</f>
        <v>8</v>
      </c>
      <c r="R31" s="365">
        <v>8</v>
      </c>
      <c r="S31" s="365">
        <v>8</v>
      </c>
      <c r="T31" s="365"/>
      <c r="U31" s="366"/>
      <c r="V31" s="366"/>
      <c r="W31" s="366"/>
      <c r="X31" s="366"/>
      <c r="Y31" s="366"/>
      <c r="Z31" s="366"/>
      <c r="AA31" s="366"/>
      <c r="AB31" s="366">
        <v>8</v>
      </c>
      <c r="AC31" s="434">
        <v>8</v>
      </c>
      <c r="AD31" s="366"/>
      <c r="AE31" s="366"/>
      <c r="AF31" s="366"/>
      <c r="AG31" s="366"/>
      <c r="AH31" s="434">
        <v>8</v>
      </c>
      <c r="AI31" s="366">
        <f>8</f>
        <v>8</v>
      </c>
      <c r="AJ31" s="433">
        <v>8</v>
      </c>
      <c r="AK31" s="366">
        <f>AJ31</f>
        <v>8</v>
      </c>
      <c r="AL31" s="472"/>
      <c r="AM31" s="478"/>
    </row>
    <row r="32" spans="1:39" s="512" customFormat="1">
      <c r="A32" s="506"/>
      <c r="B32" s="504" t="s">
        <v>14</v>
      </c>
      <c r="C32" s="507" t="s">
        <v>51</v>
      </c>
      <c r="D32" s="507"/>
      <c r="E32" s="507"/>
      <c r="F32" s="505"/>
      <c r="G32" s="505"/>
      <c r="H32" s="505">
        <v>11402.04</v>
      </c>
      <c r="I32" s="505">
        <v>11096.88</v>
      </c>
      <c r="J32" s="505">
        <v>11707.2</v>
      </c>
      <c r="K32" s="505"/>
      <c r="L32" s="505">
        <f>J32*1.1</f>
        <v>12877.920000000002</v>
      </c>
      <c r="M32" s="505">
        <v>12958.33</v>
      </c>
      <c r="N32" s="509">
        <f>N30/N31/12*1000</f>
        <v>12081.830400000001</v>
      </c>
      <c r="O32" s="509">
        <f>J32</f>
        <v>11707.2</v>
      </c>
      <c r="P32" s="509"/>
      <c r="Q32" s="509">
        <f>O32*P30</f>
        <v>12456.460800000001</v>
      </c>
      <c r="R32" s="509">
        <v>13894.86</v>
      </c>
      <c r="S32" s="509">
        <v>14062.5</v>
      </c>
      <c r="T32" s="505"/>
      <c r="U32" s="508"/>
      <c r="V32" s="508"/>
      <c r="W32" s="508"/>
      <c r="X32" s="508"/>
      <c r="Y32" s="509"/>
      <c r="Z32" s="509"/>
      <c r="AA32" s="509"/>
      <c r="AB32" s="509">
        <f>AB30/AB31/6*1000</f>
        <v>12825.172039679999</v>
      </c>
      <c r="AC32" s="509">
        <v>14076.46</v>
      </c>
      <c r="AD32" s="509"/>
      <c r="AE32" s="509"/>
      <c r="AF32" s="509"/>
      <c r="AG32" s="509"/>
      <c r="AH32" s="509">
        <v>14076.46</v>
      </c>
      <c r="AI32" s="509">
        <f>AI30/AI31/12*1000</f>
        <v>13079.110446065664</v>
      </c>
      <c r="AJ32" s="509">
        <f>AJ30/AJ31/6*1000</f>
        <v>12825.172039679999</v>
      </c>
      <c r="AK32" s="509">
        <f>AK30/AK31/6*1000</f>
        <v>13333.048852451329</v>
      </c>
      <c r="AL32" s="509"/>
      <c r="AM32" s="510"/>
    </row>
    <row r="33" spans="1:39" s="397" customFormat="1" ht="15.75">
      <c r="A33" s="429"/>
      <c r="B33" s="325" t="s">
        <v>173</v>
      </c>
      <c r="C33" s="45" t="s">
        <v>51</v>
      </c>
      <c r="D33" s="36"/>
      <c r="E33" s="36"/>
      <c r="F33" s="181"/>
      <c r="G33" s="40"/>
      <c r="H33" s="181">
        <v>7056</v>
      </c>
      <c r="I33" s="36"/>
      <c r="J33" s="36"/>
      <c r="K33" s="40"/>
      <c r="L33" s="40"/>
      <c r="M33" s="40">
        <v>7056</v>
      </c>
      <c r="N33" s="36"/>
      <c r="O33" s="351"/>
      <c r="P33" s="365"/>
      <c r="Q33" s="365"/>
      <c r="R33" s="365">
        <v>7056</v>
      </c>
      <c r="S33" s="365">
        <v>7056</v>
      </c>
      <c r="T33" s="365"/>
      <c r="U33" s="366"/>
      <c r="V33" s="366"/>
      <c r="W33" s="366"/>
      <c r="X33" s="366"/>
      <c r="Y33" s="366"/>
      <c r="Z33" s="366"/>
      <c r="AA33" s="366"/>
      <c r="AB33" s="366"/>
      <c r="AC33" s="434">
        <v>7056</v>
      </c>
      <c r="AD33" s="366"/>
      <c r="AE33" s="366"/>
      <c r="AF33" s="366"/>
      <c r="AG33" s="367"/>
      <c r="AH33" s="434">
        <v>7056</v>
      </c>
      <c r="AI33" s="366"/>
      <c r="AJ33" s="376"/>
      <c r="AK33" s="367"/>
      <c r="AL33" s="472"/>
      <c r="AM33" s="478"/>
    </row>
    <row r="34" spans="1:39" s="396" customFormat="1" ht="15.75">
      <c r="A34" s="428" t="s">
        <v>38</v>
      </c>
      <c r="B34" s="321" t="s">
        <v>178</v>
      </c>
      <c r="C34" s="14" t="s">
        <v>31</v>
      </c>
      <c r="D34" s="296"/>
      <c r="E34" s="15"/>
      <c r="F34" s="168"/>
      <c r="G34" s="15"/>
      <c r="H34" s="15">
        <v>330.57</v>
      </c>
      <c r="I34" s="15">
        <v>160.86000000000001</v>
      </c>
      <c r="J34" s="15">
        <v>169.71</v>
      </c>
      <c r="K34" s="15"/>
      <c r="L34" s="15">
        <f>L30*0.302</f>
        <v>373.3566566400001</v>
      </c>
      <c r="M34" s="15">
        <v>281.7</v>
      </c>
      <c r="N34" s="15">
        <f>O34+Q34</f>
        <v>350.27642695680004</v>
      </c>
      <c r="O34" s="362">
        <f>O30*0.302</f>
        <v>169.70757120000005</v>
      </c>
      <c r="P34" s="362"/>
      <c r="Q34" s="362">
        <f>Q30*0.302</f>
        <v>180.56885575679999</v>
      </c>
      <c r="R34" s="362">
        <v>301.95</v>
      </c>
      <c r="S34" s="362">
        <v>407</v>
      </c>
      <c r="T34" s="362"/>
      <c r="U34" s="345"/>
      <c r="V34" s="345"/>
      <c r="W34" s="345"/>
      <c r="X34" s="345"/>
      <c r="Y34" s="433">
        <f>Z34+AB34</f>
        <v>366.48254964400127</v>
      </c>
      <c r="Z34" s="345">
        <f>Z30*0.302</f>
        <v>180.56885575679999</v>
      </c>
      <c r="AA34" s="345">
        <f t="shared" ref="AA34:AB34" si="3">AA30*0.302</f>
        <v>0.32012000000000002</v>
      </c>
      <c r="AB34" s="345">
        <f t="shared" si="3"/>
        <v>185.91369388720128</v>
      </c>
      <c r="AC34" s="321">
        <v>204.05</v>
      </c>
      <c r="AD34" s="345"/>
      <c r="AE34" s="345"/>
      <c r="AF34" s="345"/>
      <c r="AG34" s="345"/>
      <c r="AH34" s="321">
        <v>408.1</v>
      </c>
      <c r="AI34" s="433">
        <f>AJ34+AK34</f>
        <v>379.18957005233574</v>
      </c>
      <c r="AJ34" s="345">
        <f>AB34</f>
        <v>185.91369388720128</v>
      </c>
      <c r="AK34" s="465">
        <f>AJ34*$AJ$24+AJ34</f>
        <v>193.27587616513443</v>
      </c>
      <c r="AL34" s="472"/>
      <c r="AM34" s="320"/>
    </row>
    <row r="35" spans="1:39" s="396" customFormat="1" ht="15.75">
      <c r="A35" s="428" t="s">
        <v>52</v>
      </c>
      <c r="B35" s="321" t="s">
        <v>169</v>
      </c>
      <c r="C35" s="14" t="s">
        <v>31</v>
      </c>
      <c r="D35" s="296"/>
      <c r="E35" s="15"/>
      <c r="F35" s="38"/>
      <c r="G35" s="15"/>
      <c r="H35" s="15">
        <v>42.8</v>
      </c>
      <c r="I35" s="15">
        <v>21.4</v>
      </c>
      <c r="J35" s="15">
        <v>21.4</v>
      </c>
      <c r="K35" s="15"/>
      <c r="L35" s="15">
        <v>114.34</v>
      </c>
      <c r="M35" s="15">
        <v>10.3</v>
      </c>
      <c r="N35" s="15">
        <f>O35+Q35</f>
        <v>42.8</v>
      </c>
      <c r="O35" s="362">
        <f>J35</f>
        <v>21.4</v>
      </c>
      <c r="P35" s="362"/>
      <c r="Q35" s="362">
        <f>O35</f>
        <v>21.4</v>
      </c>
      <c r="R35" s="362">
        <v>40.880000000000003</v>
      </c>
      <c r="S35" s="362">
        <v>32</v>
      </c>
      <c r="T35" s="362"/>
      <c r="U35" s="345"/>
      <c r="V35" s="345"/>
      <c r="W35" s="345"/>
      <c r="X35" s="345"/>
      <c r="Y35" s="433">
        <f>Z35+AB35</f>
        <v>43.433439999999997</v>
      </c>
      <c r="Z35" s="345">
        <f>Q35</f>
        <v>21.4</v>
      </c>
      <c r="AA35" s="345"/>
      <c r="AB35" s="345">
        <f>Z35*$AA$23</f>
        <v>22.033439999999999</v>
      </c>
      <c r="AC35" s="321">
        <v>37.18</v>
      </c>
      <c r="AD35" s="345"/>
      <c r="AE35" s="345"/>
      <c r="AF35" s="345"/>
      <c r="AG35" s="345"/>
      <c r="AH35" s="321">
        <v>74.36</v>
      </c>
      <c r="AI35" s="433">
        <f>AJ35+AK35</f>
        <v>44.939404224</v>
      </c>
      <c r="AJ35" s="345">
        <f>AB35</f>
        <v>22.033439999999999</v>
      </c>
      <c r="AK35" s="363">
        <f>AJ35*$AJ$24+AJ35</f>
        <v>22.905964223999998</v>
      </c>
      <c r="AL35" s="472"/>
      <c r="AM35" s="320"/>
    </row>
    <row r="36" spans="1:39" s="396" customFormat="1" ht="15.75">
      <c r="A36" s="428" t="s">
        <v>170</v>
      </c>
      <c r="B36" s="326" t="s">
        <v>63</v>
      </c>
      <c r="C36" s="14" t="s">
        <v>31</v>
      </c>
      <c r="D36" s="163"/>
      <c r="E36" s="163"/>
      <c r="F36" s="168"/>
      <c r="G36" s="15"/>
      <c r="H36" s="15">
        <v>148.69</v>
      </c>
      <c r="I36" s="15">
        <v>71.349999999999994</v>
      </c>
      <c r="J36" s="15">
        <v>77.34</v>
      </c>
      <c r="K36" s="15"/>
      <c r="L36" s="15">
        <v>161.25</v>
      </c>
      <c r="M36" s="15">
        <v>0</v>
      </c>
      <c r="N36" s="15">
        <f>O36+Q36</f>
        <v>148.69</v>
      </c>
      <c r="O36" s="362">
        <f>H36/2</f>
        <v>74.344999999999999</v>
      </c>
      <c r="P36" s="364">
        <f>P42</f>
        <v>1.0569999999999999</v>
      </c>
      <c r="Q36" s="362">
        <f>O36</f>
        <v>74.344999999999999</v>
      </c>
      <c r="R36" s="362">
        <v>0</v>
      </c>
      <c r="S36" s="362"/>
      <c r="T36" s="362"/>
      <c r="U36" s="345"/>
      <c r="V36" s="345"/>
      <c r="W36" s="345"/>
      <c r="X36" s="345"/>
      <c r="Y36" s="433">
        <f>Z36+AB36</f>
        <v>150.890612</v>
      </c>
      <c r="Z36" s="345">
        <f>Q36</f>
        <v>74.344999999999999</v>
      </c>
      <c r="AA36" s="345"/>
      <c r="AB36" s="345">
        <f>Z36*$AA$23</f>
        <v>76.545612000000006</v>
      </c>
      <c r="AC36" s="321"/>
      <c r="AD36" s="345"/>
      <c r="AE36" s="345"/>
      <c r="AF36" s="345"/>
      <c r="AG36" s="345"/>
      <c r="AH36" s="321"/>
      <c r="AI36" s="433">
        <f>AJ36+AK36</f>
        <v>156.1224302352</v>
      </c>
      <c r="AJ36" s="345">
        <f>AB36</f>
        <v>76.545612000000006</v>
      </c>
      <c r="AK36" s="363">
        <f>AJ36*$AJ$24+AJ36</f>
        <v>79.576818235200008</v>
      </c>
      <c r="AL36" s="472"/>
      <c r="AM36" s="320"/>
    </row>
    <row r="37" spans="1:39" s="396" customFormat="1" ht="15.75">
      <c r="A37" s="418" t="s">
        <v>18</v>
      </c>
      <c r="B37" s="324" t="s">
        <v>15</v>
      </c>
      <c r="C37" s="295"/>
      <c r="D37" s="6"/>
      <c r="E37" s="6"/>
      <c r="F37" s="38"/>
      <c r="G37" s="15"/>
      <c r="H37" s="15"/>
      <c r="I37" s="15"/>
      <c r="J37" s="15"/>
      <c r="K37" s="15"/>
      <c r="L37" s="15"/>
      <c r="M37" s="15"/>
      <c r="N37" s="15"/>
      <c r="O37" s="362"/>
      <c r="P37" s="362"/>
      <c r="Q37" s="362"/>
      <c r="R37" s="362"/>
      <c r="S37" s="362">
        <v>802</v>
      </c>
      <c r="T37" s="362"/>
      <c r="U37" s="345"/>
      <c r="V37" s="345"/>
      <c r="W37" s="345"/>
      <c r="X37" s="345"/>
      <c r="Y37" s="362">
        <f>Z37+AB37</f>
        <v>1847.4946493532871</v>
      </c>
      <c r="Z37" s="362">
        <f>Z38+Z41+Z42</f>
        <v>910.27525096240004</v>
      </c>
      <c r="AA37" s="362">
        <f t="shared" ref="AA37:AB37" si="4">AA38+AA41+AA42</f>
        <v>0</v>
      </c>
      <c r="AB37" s="362">
        <f t="shared" si="4"/>
        <v>937.21939839088714</v>
      </c>
      <c r="AC37" s="438">
        <v>466.21</v>
      </c>
      <c r="AD37" s="362"/>
      <c r="AE37" s="362"/>
      <c r="AF37" s="362"/>
      <c r="AG37" s="439"/>
      <c r="AH37" s="438">
        <v>932.42</v>
      </c>
      <c r="AI37" s="466">
        <f t="shared" ref="AI37" si="5">AI38+AI41+AI42</f>
        <v>1911.5526849580533</v>
      </c>
      <c r="AJ37" s="466">
        <f t="shared" ref="AJ37" si="6">AJ38+AJ41+AJ42</f>
        <v>937.21939839088714</v>
      </c>
      <c r="AK37" s="466">
        <f t="shared" ref="AK37" si="7">AK38+AK41+AK42</f>
        <v>974.33328656716628</v>
      </c>
      <c r="AL37" s="472"/>
      <c r="AM37" s="320"/>
    </row>
    <row r="38" spans="1:39" s="396" customFormat="1" ht="15.75">
      <c r="A38" s="428" t="s">
        <v>53</v>
      </c>
      <c r="B38" s="321" t="s">
        <v>81</v>
      </c>
      <c r="C38" s="45" t="s">
        <v>4</v>
      </c>
      <c r="D38" s="45"/>
      <c r="E38" s="45"/>
      <c r="F38" s="168"/>
      <c r="G38" s="15"/>
      <c r="H38" s="168">
        <v>590.07000000000005</v>
      </c>
      <c r="I38" s="15">
        <v>287.14</v>
      </c>
      <c r="J38" s="15">
        <v>302.93</v>
      </c>
      <c r="K38" s="15"/>
      <c r="L38" s="15">
        <f>L39*L40*12/1000</f>
        <v>666.45051000000012</v>
      </c>
      <c r="M38" s="15">
        <v>310</v>
      </c>
      <c r="N38" s="15">
        <f>O38+Q38</f>
        <v>625.25175120000006</v>
      </c>
      <c r="O38" s="362">
        <f>O40*O39*6/1000</f>
        <v>302.93205000000006</v>
      </c>
      <c r="P38" s="364">
        <v>1.0640000000000001</v>
      </c>
      <c r="Q38" s="362">
        <f>Q39*Q40*6/1000</f>
        <v>322.3197012</v>
      </c>
      <c r="R38" s="362">
        <v>333.29</v>
      </c>
      <c r="S38" s="362">
        <v>460</v>
      </c>
      <c r="T38" s="493">
        <f>S38-N38</f>
        <v>-165.25175120000006</v>
      </c>
      <c r="U38" s="345"/>
      <c r="V38" s="345"/>
      <c r="W38" s="364">
        <v>1.06</v>
      </c>
      <c r="X38" s="345"/>
      <c r="Y38" s="433">
        <f>Z38+AB38</f>
        <v>654.18006555552006</v>
      </c>
      <c r="Z38" s="345">
        <f>Q38</f>
        <v>322.3197012</v>
      </c>
      <c r="AA38" s="345"/>
      <c r="AB38" s="345">
        <f>Z38*$AA$23</f>
        <v>331.86036435552001</v>
      </c>
      <c r="AC38" s="321">
        <v>261.55</v>
      </c>
      <c r="AD38" s="345"/>
      <c r="AE38" s="345"/>
      <c r="AF38" s="364">
        <v>1.05</v>
      </c>
      <c r="AG38" s="363"/>
      <c r="AH38" s="321">
        <v>523.1</v>
      </c>
      <c r="AI38" s="467">
        <f>AJ38+AK38</f>
        <v>676.86239913951863</v>
      </c>
      <c r="AJ38" s="467">
        <f>AB38</f>
        <v>331.86036435552001</v>
      </c>
      <c r="AK38" s="465">
        <f>AJ38*$AJ$24+AJ38</f>
        <v>345.00203478399862</v>
      </c>
      <c r="AL38" s="472"/>
      <c r="AM38" s="320"/>
    </row>
    <row r="39" spans="1:39" s="396" customFormat="1" ht="15.75">
      <c r="A39" s="428"/>
      <c r="B39" s="325" t="s">
        <v>13</v>
      </c>
      <c r="C39" s="45" t="s">
        <v>50</v>
      </c>
      <c r="D39" s="45"/>
      <c r="E39" s="45"/>
      <c r="F39" s="182"/>
      <c r="G39" s="36"/>
      <c r="H39" s="41">
        <v>2.5</v>
      </c>
      <c r="I39" s="37">
        <v>2.5</v>
      </c>
      <c r="J39" s="37">
        <v>2.5</v>
      </c>
      <c r="K39" s="37"/>
      <c r="L39" s="36">
        <f>J39</f>
        <v>2.5</v>
      </c>
      <c r="M39" s="36">
        <v>2</v>
      </c>
      <c r="N39" s="37">
        <f>J39</f>
        <v>2.5</v>
      </c>
      <c r="O39" s="365">
        <f>J39</f>
        <v>2.5</v>
      </c>
      <c r="P39" s="365"/>
      <c r="Q39" s="365">
        <f>J39</f>
        <v>2.5</v>
      </c>
      <c r="R39" s="365">
        <v>2</v>
      </c>
      <c r="S39" s="365">
        <v>2</v>
      </c>
      <c r="T39" s="365"/>
      <c r="U39" s="345"/>
      <c r="V39" s="345"/>
      <c r="W39" s="345"/>
      <c r="X39" s="345"/>
      <c r="Y39" s="441">
        <v>2</v>
      </c>
      <c r="Z39" s="441">
        <v>2</v>
      </c>
      <c r="AA39" s="345"/>
      <c r="AB39" s="441">
        <v>2</v>
      </c>
      <c r="AC39" s="321">
        <v>2</v>
      </c>
      <c r="AD39" s="345"/>
      <c r="AE39" s="345"/>
      <c r="AF39" s="345"/>
      <c r="AG39" s="363"/>
      <c r="AH39" s="321">
        <v>2</v>
      </c>
      <c r="AI39" s="376">
        <v>2</v>
      </c>
      <c r="AJ39" s="376">
        <v>2</v>
      </c>
      <c r="AK39" s="456">
        <v>2</v>
      </c>
      <c r="AL39" s="472"/>
      <c r="AM39" s="320"/>
    </row>
    <row r="40" spans="1:39" s="512" customFormat="1">
      <c r="A40" s="506"/>
      <c r="B40" s="504" t="s">
        <v>14</v>
      </c>
      <c r="C40" s="507" t="s">
        <v>51</v>
      </c>
      <c r="D40" s="507"/>
      <c r="E40" s="507"/>
      <c r="F40" s="505"/>
      <c r="G40" s="505"/>
      <c r="H40" s="505">
        <v>19669.05</v>
      </c>
      <c r="I40" s="505">
        <v>19142.63</v>
      </c>
      <c r="J40" s="505">
        <v>20195.47</v>
      </c>
      <c r="K40" s="505"/>
      <c r="L40" s="505">
        <f>J40*1.1</f>
        <v>22215.017000000003</v>
      </c>
      <c r="M40" s="505">
        <v>17222.22</v>
      </c>
      <c r="N40" s="509">
        <f>N38/N39/12*1000</f>
        <v>20841.725040000005</v>
      </c>
      <c r="O40" s="509">
        <f>J40</f>
        <v>20195.47</v>
      </c>
      <c r="P40" s="509"/>
      <c r="Q40" s="509">
        <f>O40*P38</f>
        <v>21487.980080000001</v>
      </c>
      <c r="R40" s="509">
        <v>18516.11</v>
      </c>
      <c r="S40" s="509">
        <v>19166.669999999998</v>
      </c>
      <c r="T40" s="505"/>
      <c r="U40" s="508"/>
      <c r="V40" s="508"/>
      <c r="W40" s="508"/>
      <c r="X40" s="508"/>
      <c r="Y40" s="509">
        <f>Y38/Y39/12*1000</f>
        <v>27257.502731480003</v>
      </c>
      <c r="Z40" s="509">
        <f>Z38/Z39/6*1000</f>
        <v>26859.9751</v>
      </c>
      <c r="AA40" s="509"/>
      <c r="AB40" s="509">
        <f>AB38/AB39/6*1000</f>
        <v>27655.030362960002</v>
      </c>
      <c r="AC40" s="509">
        <v>21795.83</v>
      </c>
      <c r="AD40" s="509"/>
      <c r="AE40" s="509"/>
      <c r="AF40" s="509"/>
      <c r="AG40" s="509"/>
      <c r="AH40" s="509">
        <v>21795.83</v>
      </c>
      <c r="AI40" s="509">
        <f>AI38/AI39/12*1000</f>
        <v>28202.599964146611</v>
      </c>
      <c r="AJ40" s="509">
        <f>AJ38/AJ39/6*1000</f>
        <v>27655.030362960002</v>
      </c>
      <c r="AK40" s="509">
        <f>AK38/AK39/6*1000</f>
        <v>28750.169565333221</v>
      </c>
      <c r="AL40" s="509"/>
      <c r="AM40" s="510"/>
    </row>
    <row r="41" spans="1:39" s="396" customFormat="1" ht="15.75">
      <c r="A41" s="428" t="s">
        <v>54</v>
      </c>
      <c r="B41" s="321" t="s">
        <v>179</v>
      </c>
      <c r="C41" s="14" t="s">
        <v>31</v>
      </c>
      <c r="D41" s="14"/>
      <c r="E41" s="14"/>
      <c r="F41" s="168"/>
      <c r="G41" s="15"/>
      <c r="H41" s="168">
        <v>178.2</v>
      </c>
      <c r="I41" s="15">
        <v>86.72</v>
      </c>
      <c r="J41" s="15">
        <v>91.49</v>
      </c>
      <c r="K41" s="15"/>
      <c r="L41" s="15">
        <f>L38*0.302</f>
        <v>201.26805402000002</v>
      </c>
      <c r="M41" s="15">
        <v>93</v>
      </c>
      <c r="N41" s="15">
        <f>O41+Q41</f>
        <v>188.82602886240002</v>
      </c>
      <c r="O41" s="362">
        <f>O38*0.302</f>
        <v>91.48547910000002</v>
      </c>
      <c r="P41" s="362"/>
      <c r="Q41" s="362">
        <f>Q38*0.302</f>
        <v>97.340549762400002</v>
      </c>
      <c r="R41" s="362">
        <v>93.52</v>
      </c>
      <c r="S41" s="362">
        <v>132</v>
      </c>
      <c r="T41" s="493">
        <f>S41-N41</f>
        <v>-56.826028862400022</v>
      </c>
      <c r="U41" s="345"/>
      <c r="V41" s="345"/>
      <c r="W41" s="345"/>
      <c r="X41" s="345"/>
      <c r="Y41" s="345">
        <f t="shared" ref="Y41:AB41" si="8">Y38*0.302</f>
        <v>197.56237979776705</v>
      </c>
      <c r="Z41" s="345">
        <f t="shared" si="8"/>
        <v>97.340549762400002</v>
      </c>
      <c r="AA41" s="345">
        <f t="shared" si="8"/>
        <v>0</v>
      </c>
      <c r="AB41" s="345">
        <f t="shared" si="8"/>
        <v>100.22183003536703</v>
      </c>
      <c r="AC41" s="321">
        <v>78.650000000000006</v>
      </c>
      <c r="AD41" s="345"/>
      <c r="AE41" s="345"/>
      <c r="AF41" s="345"/>
      <c r="AG41" s="363"/>
      <c r="AH41" s="321">
        <v>157.97</v>
      </c>
      <c r="AI41" s="345">
        <f t="shared" ref="AI41:AK41" si="9">AI38*0.302</f>
        <v>204.41244454013463</v>
      </c>
      <c r="AJ41" s="345">
        <f t="shared" si="9"/>
        <v>100.22183003536703</v>
      </c>
      <c r="AK41" s="433">
        <f t="shared" si="9"/>
        <v>104.19061450476758</v>
      </c>
      <c r="AL41" s="472"/>
      <c r="AM41" s="320"/>
    </row>
    <row r="42" spans="1:39" s="396" customFormat="1" ht="15.75">
      <c r="A42" s="428" t="s">
        <v>53</v>
      </c>
      <c r="B42" s="321" t="s">
        <v>129</v>
      </c>
      <c r="C42" s="45" t="s">
        <v>4</v>
      </c>
      <c r="D42" s="15"/>
      <c r="E42" s="15"/>
      <c r="F42" s="168"/>
      <c r="G42" s="15"/>
      <c r="H42" s="15">
        <v>1264.3900000000001</v>
      </c>
      <c r="I42" s="15">
        <v>530.91999999999996</v>
      </c>
      <c r="J42" s="15">
        <v>733.47</v>
      </c>
      <c r="K42" s="15"/>
      <c r="L42" s="15">
        <f>H42</f>
        <v>1264.3900000000001</v>
      </c>
      <c r="M42" s="15">
        <v>104.62</v>
      </c>
      <c r="N42" s="15">
        <f>O42+Q42</f>
        <v>981.23</v>
      </c>
      <c r="O42" s="362">
        <f>O43+O44</f>
        <v>490.61500000000001</v>
      </c>
      <c r="P42" s="364">
        <v>1.0569999999999999</v>
      </c>
      <c r="Q42" s="362">
        <f>Q43+Q44</f>
        <v>490.61500000000001</v>
      </c>
      <c r="R42" s="362">
        <v>113.15</v>
      </c>
      <c r="S42" s="362">
        <v>210</v>
      </c>
      <c r="T42" s="493">
        <f>S42-N42</f>
        <v>-771.23</v>
      </c>
      <c r="U42" s="345"/>
      <c r="V42" s="345"/>
      <c r="W42" s="364">
        <v>1.052</v>
      </c>
      <c r="X42" s="345"/>
      <c r="Y42" s="433">
        <f>Z42+AB42</f>
        <v>995.75220400000012</v>
      </c>
      <c r="Z42" s="345">
        <f>Q42</f>
        <v>490.61500000000001</v>
      </c>
      <c r="AA42" s="345"/>
      <c r="AB42" s="345">
        <f>Z42*$AA$23</f>
        <v>505.13720400000005</v>
      </c>
      <c r="AC42" s="321">
        <v>126.01</v>
      </c>
      <c r="AD42" s="345"/>
      <c r="AE42" s="345"/>
      <c r="AF42" s="364">
        <v>1.0449999999999999</v>
      </c>
      <c r="AG42" s="363"/>
      <c r="AH42" s="321">
        <v>252.02</v>
      </c>
      <c r="AI42" s="433">
        <f>AJ42+AK42</f>
        <v>1030.2778412784</v>
      </c>
      <c r="AJ42" s="345">
        <f>AJ43+AJ44</f>
        <v>505.13720400000005</v>
      </c>
      <c r="AK42" s="363">
        <f>AK43+AK44</f>
        <v>525.14063727840005</v>
      </c>
      <c r="AL42" s="472"/>
      <c r="AM42" s="320"/>
    </row>
    <row r="43" spans="1:39" s="396" customFormat="1" ht="31.5">
      <c r="A43" s="428"/>
      <c r="B43" s="327" t="s">
        <v>291</v>
      </c>
      <c r="C43" s="45" t="s">
        <v>4</v>
      </c>
      <c r="D43" s="15"/>
      <c r="E43" s="15"/>
      <c r="F43" s="38"/>
      <c r="G43" s="36"/>
      <c r="H43" s="36">
        <v>884</v>
      </c>
      <c r="I43" s="36">
        <v>442</v>
      </c>
      <c r="J43" s="36">
        <v>442</v>
      </c>
      <c r="K43" s="36"/>
      <c r="L43" s="36">
        <f>H43</f>
        <v>884</v>
      </c>
      <c r="M43" s="36">
        <v>104.62</v>
      </c>
      <c r="N43" s="36">
        <f>H43-113.16</f>
        <v>770.84</v>
      </c>
      <c r="O43" s="351">
        <f>(H43-113.16)/2-65</f>
        <v>320.42</v>
      </c>
      <c r="P43" s="368"/>
      <c r="Q43" s="351">
        <f>O43</f>
        <v>320.42</v>
      </c>
      <c r="R43" s="351">
        <v>113.15</v>
      </c>
      <c r="S43" s="351"/>
      <c r="T43" s="351"/>
      <c r="U43" s="345"/>
      <c r="V43" s="345"/>
      <c r="W43" s="364"/>
      <c r="X43" s="345"/>
      <c r="Y43" s="441">
        <f>Z43+AB43</f>
        <v>650.32443200000012</v>
      </c>
      <c r="Z43" s="366">
        <f>Q43</f>
        <v>320.42</v>
      </c>
      <c r="AA43" s="366"/>
      <c r="AB43" s="366">
        <f>Z43*$AA$23</f>
        <v>329.90443200000004</v>
      </c>
      <c r="AC43" s="321">
        <v>119.45</v>
      </c>
      <c r="AD43" s="345"/>
      <c r="AE43" s="345"/>
      <c r="AF43" s="364"/>
      <c r="AG43" s="363"/>
      <c r="AH43" s="321">
        <v>238.9</v>
      </c>
      <c r="AI43" s="441">
        <f>AJ43+AK43</f>
        <v>672.87307950720015</v>
      </c>
      <c r="AJ43" s="441">
        <f>AB43</f>
        <v>329.90443200000004</v>
      </c>
      <c r="AK43" s="367">
        <f t="shared" ref="AK43:AK44" si="10">AJ43*$AJ$24+AJ43</f>
        <v>342.96864750720005</v>
      </c>
      <c r="AL43" s="472"/>
      <c r="AM43" s="320"/>
    </row>
    <row r="44" spans="1:39" s="396" customFormat="1" ht="31.5">
      <c r="A44" s="428"/>
      <c r="B44" s="327" t="s">
        <v>292</v>
      </c>
      <c r="C44" s="45" t="s">
        <v>4</v>
      </c>
      <c r="D44" s="15"/>
      <c r="E44" s="9"/>
      <c r="F44" s="38"/>
      <c r="G44" s="36"/>
      <c r="H44" s="36">
        <v>380.39</v>
      </c>
      <c r="I44" s="36">
        <v>88.92</v>
      </c>
      <c r="J44" s="36">
        <v>291.47000000000003</v>
      </c>
      <c r="K44" s="15"/>
      <c r="L44" s="36">
        <f>H44</f>
        <v>380.39</v>
      </c>
      <c r="M44" s="36">
        <v>0</v>
      </c>
      <c r="N44" s="36">
        <f>O44+Q44</f>
        <v>340.39</v>
      </c>
      <c r="O44" s="351">
        <f>H44/2-20</f>
        <v>170.19499999999999</v>
      </c>
      <c r="P44" s="364"/>
      <c r="Q44" s="351">
        <f>O44</f>
        <v>170.19499999999999</v>
      </c>
      <c r="R44" s="351">
        <v>0</v>
      </c>
      <c r="S44" s="351"/>
      <c r="T44" s="351"/>
      <c r="U44" s="345"/>
      <c r="V44" s="345"/>
      <c r="W44" s="364"/>
      <c r="X44" s="345"/>
      <c r="Y44" s="441">
        <f>Z44+AB44</f>
        <v>345.427772</v>
      </c>
      <c r="Z44" s="366">
        <f>Q44</f>
        <v>170.19499999999999</v>
      </c>
      <c r="AA44" s="366"/>
      <c r="AB44" s="366">
        <f>Z44*$AA$23</f>
        <v>175.23277200000001</v>
      </c>
      <c r="AC44" s="321">
        <v>6.56</v>
      </c>
      <c r="AD44" s="345"/>
      <c r="AE44" s="345"/>
      <c r="AF44" s="364"/>
      <c r="AG44" s="363"/>
      <c r="AH44" s="321">
        <v>13.12</v>
      </c>
      <c r="AI44" s="441">
        <f>AJ44+AK44</f>
        <v>357.40476177120001</v>
      </c>
      <c r="AJ44" s="441">
        <f>AB44</f>
        <v>175.23277200000001</v>
      </c>
      <c r="AK44" s="367">
        <f t="shared" si="10"/>
        <v>182.1719897712</v>
      </c>
      <c r="AL44" s="472"/>
      <c r="AM44" s="320"/>
    </row>
    <row r="45" spans="1:39" s="396" customFormat="1" ht="26.25" hidden="1" customHeight="1">
      <c r="A45" s="430"/>
      <c r="B45" s="327" t="s">
        <v>191</v>
      </c>
      <c r="C45" s="45" t="s">
        <v>4</v>
      </c>
      <c r="D45" s="15"/>
      <c r="E45" s="9"/>
      <c r="F45" s="38"/>
      <c r="G45" s="36"/>
      <c r="H45" s="9"/>
      <c r="I45" s="15"/>
      <c r="J45" s="15"/>
      <c r="K45" s="15"/>
      <c r="L45" s="36"/>
      <c r="M45" s="36"/>
      <c r="N45" s="36"/>
      <c r="O45" s="351"/>
      <c r="P45" s="364"/>
      <c r="Q45" s="351"/>
      <c r="R45" s="351"/>
      <c r="S45" s="351"/>
      <c r="T45" s="351"/>
      <c r="U45" s="345"/>
      <c r="V45" s="345"/>
      <c r="W45" s="364"/>
      <c r="X45" s="345"/>
      <c r="Y45" s="345"/>
      <c r="Z45" s="345"/>
      <c r="AA45" s="364"/>
      <c r="AB45" s="345"/>
      <c r="AC45" s="321"/>
      <c r="AD45" s="345"/>
      <c r="AE45" s="345"/>
      <c r="AF45" s="364"/>
      <c r="AG45" s="363"/>
      <c r="AH45" s="321"/>
      <c r="AI45" s="345"/>
      <c r="AJ45" s="345"/>
      <c r="AK45" s="363"/>
      <c r="AL45" s="472"/>
      <c r="AM45" s="320"/>
    </row>
    <row r="46" spans="1:39" s="396" customFormat="1" ht="15" hidden="1" customHeight="1">
      <c r="A46" s="428" t="s">
        <v>70</v>
      </c>
      <c r="B46" s="321" t="s">
        <v>49</v>
      </c>
      <c r="C46" s="45" t="s">
        <v>4</v>
      </c>
      <c r="D46" s="45"/>
      <c r="E46" s="45"/>
      <c r="F46" s="38"/>
      <c r="G46" s="8"/>
      <c r="H46" s="8"/>
      <c r="I46" s="8"/>
      <c r="J46" s="8"/>
      <c r="K46" s="8"/>
      <c r="L46" s="8"/>
      <c r="M46" s="8"/>
      <c r="N46" s="8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21"/>
      <c r="AD46" s="345"/>
      <c r="AE46" s="345"/>
      <c r="AF46" s="345"/>
      <c r="AG46" s="363"/>
      <c r="AH46" s="321"/>
      <c r="AI46" s="345"/>
      <c r="AJ46" s="345"/>
      <c r="AK46" s="363"/>
      <c r="AL46" s="472"/>
      <c r="AM46" s="320"/>
    </row>
    <row r="47" spans="1:39" s="396" customFormat="1" ht="26.25" hidden="1" customHeight="1">
      <c r="A47" s="428" t="s">
        <v>82</v>
      </c>
      <c r="B47" s="328" t="s">
        <v>71</v>
      </c>
      <c r="C47" s="45" t="s">
        <v>4</v>
      </c>
      <c r="D47" s="45"/>
      <c r="E47" s="45"/>
      <c r="F47" s="38"/>
      <c r="G47" s="8"/>
      <c r="H47" s="8"/>
      <c r="I47" s="8"/>
      <c r="J47" s="8"/>
      <c r="K47" s="15"/>
      <c r="L47" s="8"/>
      <c r="M47" s="8"/>
      <c r="N47" s="8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21"/>
      <c r="AD47" s="345"/>
      <c r="AE47" s="345"/>
      <c r="AF47" s="345"/>
      <c r="AG47" s="363"/>
      <c r="AH47" s="321"/>
      <c r="AI47" s="345"/>
      <c r="AJ47" s="345"/>
      <c r="AK47" s="363"/>
      <c r="AL47" s="472"/>
      <c r="AM47" s="320"/>
    </row>
    <row r="48" spans="1:39" s="396" customFormat="1" ht="15.75">
      <c r="A48" s="418" t="s">
        <v>28</v>
      </c>
      <c r="B48" s="324" t="s">
        <v>29</v>
      </c>
      <c r="C48" s="45"/>
      <c r="D48" s="45"/>
      <c r="E48" s="45"/>
      <c r="F48" s="38"/>
      <c r="G48" s="15"/>
      <c r="H48" s="15"/>
      <c r="I48" s="15"/>
      <c r="J48" s="15"/>
      <c r="K48" s="15"/>
      <c r="L48" s="15"/>
      <c r="M48" s="15"/>
      <c r="N48" s="15"/>
      <c r="O48" s="362"/>
      <c r="P48" s="362"/>
      <c r="Q48" s="362"/>
      <c r="R48" s="362"/>
      <c r="S48" s="362">
        <v>280</v>
      </c>
      <c r="T48" s="362"/>
      <c r="U48" s="345"/>
      <c r="V48" s="345"/>
      <c r="W48" s="345"/>
      <c r="X48" s="345"/>
      <c r="Y48" s="362">
        <f>Z48+AB48</f>
        <v>308.29122745082782</v>
      </c>
      <c r="Z48" s="375">
        <f>Z49+Z52+Z53</f>
        <v>151.89753027730973</v>
      </c>
      <c r="AA48" s="375">
        <f t="shared" ref="AA48:AB48" si="11">AA49+AA52+AA53</f>
        <v>1.06</v>
      </c>
      <c r="AB48" s="375">
        <f t="shared" si="11"/>
        <v>156.39369717351812</v>
      </c>
      <c r="AC48" s="438">
        <v>138.43</v>
      </c>
      <c r="AD48" s="362"/>
      <c r="AE48" s="362"/>
      <c r="AF48" s="362"/>
      <c r="AG48" s="439"/>
      <c r="AH48" s="438">
        <v>276.86</v>
      </c>
      <c r="AI48" s="380">
        <f>AJ48+AK48</f>
        <v>318.98058475510754</v>
      </c>
      <c r="AJ48" s="380">
        <f t="shared" ref="AJ48:AK48" si="12">AJ49+AJ52+AJ53</f>
        <v>156.39369717351812</v>
      </c>
      <c r="AK48" s="380">
        <f t="shared" si="12"/>
        <v>162.58688758158942</v>
      </c>
      <c r="AL48" s="472"/>
      <c r="AM48" s="320"/>
    </row>
    <row r="49" spans="1:39" s="396" customFormat="1" ht="15.75">
      <c r="A49" s="428" t="s">
        <v>55</v>
      </c>
      <c r="B49" s="321" t="s">
        <v>172</v>
      </c>
      <c r="C49" s="45" t="s">
        <v>4</v>
      </c>
      <c r="D49" s="45"/>
      <c r="E49" s="45"/>
      <c r="F49" s="168"/>
      <c r="G49" s="15"/>
      <c r="H49" s="15"/>
      <c r="I49" s="15"/>
      <c r="J49" s="15"/>
      <c r="K49" s="15"/>
      <c r="L49" s="15"/>
      <c r="M49" s="15">
        <v>103</v>
      </c>
      <c r="N49" s="15">
        <f>O49+Q49</f>
        <v>139.03750049978584</v>
      </c>
      <c r="O49" s="362">
        <f>ФОТ!C87/2</f>
        <v>67.363130087105532</v>
      </c>
      <c r="P49" s="364">
        <f>P55</f>
        <v>1.0640000000000001</v>
      </c>
      <c r="Q49" s="362">
        <f>Q50*Q51*6/1000</f>
        <v>71.67437041268029</v>
      </c>
      <c r="R49" s="362">
        <v>90</v>
      </c>
      <c r="S49" s="362">
        <v>127</v>
      </c>
      <c r="T49" s="493">
        <f>S49-N49</f>
        <v>-12.037500499785835</v>
      </c>
      <c r="U49" s="345"/>
      <c r="V49" s="345"/>
      <c r="W49" s="364">
        <v>1.06</v>
      </c>
      <c r="X49" s="345"/>
      <c r="Y49" s="345">
        <f>Z49+AB49</f>
        <v>145.47030218957593</v>
      </c>
      <c r="Z49" s="345">
        <f>Q49</f>
        <v>71.67437041268029</v>
      </c>
      <c r="AA49" s="364">
        <v>1.06</v>
      </c>
      <c r="AB49" s="345">
        <f>Z49*$AA$23</f>
        <v>73.795931776895628</v>
      </c>
      <c r="AC49" s="321">
        <v>75.3</v>
      </c>
      <c r="AD49" s="345"/>
      <c r="AE49" s="345"/>
      <c r="AF49" s="364">
        <v>1.05</v>
      </c>
      <c r="AG49" s="363"/>
      <c r="AH49" s="321">
        <v>150.6</v>
      </c>
      <c r="AI49" s="467">
        <f>AJ49+AK49</f>
        <v>150.51418245215632</v>
      </c>
      <c r="AJ49" s="467">
        <f>AB49</f>
        <v>73.795931776895628</v>
      </c>
      <c r="AK49" s="465">
        <f>AJ49*$AJ$24+AJ49</f>
        <v>76.718250675260691</v>
      </c>
      <c r="AL49" s="472"/>
      <c r="AM49" s="320"/>
    </row>
    <row r="50" spans="1:39" s="396" customFormat="1" ht="15.75">
      <c r="A50" s="428"/>
      <c r="B50" s="325" t="s">
        <v>13</v>
      </c>
      <c r="C50" s="45" t="s">
        <v>50</v>
      </c>
      <c r="D50" s="45"/>
      <c r="E50" s="45"/>
      <c r="F50" s="182"/>
      <c r="G50" s="36"/>
      <c r="H50" s="36"/>
      <c r="I50" s="36"/>
      <c r="J50" s="36"/>
      <c r="K50" s="36"/>
      <c r="L50" s="37"/>
      <c r="M50" s="37">
        <v>1</v>
      </c>
      <c r="N50" s="37">
        <f>ФОТ!F87</f>
        <v>0.53976867056975586</v>
      </c>
      <c r="O50" s="365">
        <f>ФОТ!F87</f>
        <v>0.53976867056975586</v>
      </c>
      <c r="P50" s="369"/>
      <c r="Q50" s="365">
        <f>ФОТ!F87</f>
        <v>0.53976867056975586</v>
      </c>
      <c r="R50" s="365">
        <v>1</v>
      </c>
      <c r="S50" s="365">
        <v>0.5</v>
      </c>
      <c r="T50" s="365"/>
      <c r="U50" s="345"/>
      <c r="V50" s="345"/>
      <c r="W50" s="345"/>
      <c r="X50" s="345"/>
      <c r="Y50" s="345">
        <v>0.53976867056975586</v>
      </c>
      <c r="Z50" s="345">
        <v>0.53976867056975586</v>
      </c>
      <c r="AA50" s="345">
        <v>0.53976867056975586</v>
      </c>
      <c r="AB50" s="345">
        <v>0.53976867056975586</v>
      </c>
      <c r="AC50" s="321">
        <v>0.54</v>
      </c>
      <c r="AD50" s="345"/>
      <c r="AE50" s="345"/>
      <c r="AF50" s="345"/>
      <c r="AG50" s="363"/>
      <c r="AH50" s="321">
        <v>0.54</v>
      </c>
      <c r="AI50" s="345">
        <v>0.54</v>
      </c>
      <c r="AJ50" s="345">
        <v>0.54</v>
      </c>
      <c r="AK50" s="363">
        <v>0.5</v>
      </c>
      <c r="AL50" s="472"/>
      <c r="AM50" s="320"/>
    </row>
    <row r="51" spans="1:39" s="512" customFormat="1">
      <c r="A51" s="506"/>
      <c r="B51" s="504" t="s">
        <v>14</v>
      </c>
      <c r="C51" s="507" t="s">
        <v>51</v>
      </c>
      <c r="D51" s="507"/>
      <c r="E51" s="507"/>
      <c r="F51" s="505"/>
      <c r="G51" s="505"/>
      <c r="H51" s="505"/>
      <c r="I51" s="505"/>
      <c r="J51" s="505"/>
      <c r="K51" s="505"/>
      <c r="L51" s="505"/>
      <c r="M51" s="505">
        <v>11444.14</v>
      </c>
      <c r="N51" s="509">
        <f>N49/N50/12*1000</f>
        <v>21465.600000000006</v>
      </c>
      <c r="O51" s="509">
        <f>O49/O50/6*1000</f>
        <v>20800</v>
      </c>
      <c r="P51" s="509"/>
      <c r="Q51" s="509">
        <f>O51*P49</f>
        <v>22131.200000000001</v>
      </c>
      <c r="R51" s="509">
        <v>10000</v>
      </c>
      <c r="S51" s="509">
        <v>21166.67</v>
      </c>
      <c r="T51" s="505"/>
      <c r="U51" s="508"/>
      <c r="V51" s="508"/>
      <c r="W51" s="508"/>
      <c r="X51" s="508"/>
      <c r="Y51" s="509">
        <f>Y49/Y50/12*1000</f>
        <v>22458.741760000004</v>
      </c>
      <c r="Z51" s="509">
        <f>Z49/Z50/6*1000</f>
        <v>22131.200000000004</v>
      </c>
      <c r="AA51" s="509"/>
      <c r="AB51" s="509">
        <f>AB49/AB50/6*1000</f>
        <v>22786.283520000001</v>
      </c>
      <c r="AC51" s="509">
        <v>23240.74</v>
      </c>
      <c r="AD51" s="509"/>
      <c r="AE51" s="509"/>
      <c r="AF51" s="509"/>
      <c r="AG51" s="509"/>
      <c r="AH51" s="509">
        <v>23240.74</v>
      </c>
      <c r="AI51" s="509">
        <f>AI49/AI50/12*1000</f>
        <v>23227.497291999429</v>
      </c>
      <c r="AJ51" s="509">
        <f>AJ49/AJ50/6*1000</f>
        <v>22776.522153362846</v>
      </c>
      <c r="AK51" s="509">
        <f>AK49/AK50/6*1000</f>
        <v>25572.750225086897</v>
      </c>
      <c r="AL51" s="509"/>
      <c r="AM51" s="510"/>
    </row>
    <row r="52" spans="1:39" s="396" customFormat="1" ht="15.75">
      <c r="A52" s="428" t="s">
        <v>56</v>
      </c>
      <c r="B52" s="321" t="s">
        <v>151</v>
      </c>
      <c r="C52" s="14" t="s">
        <v>31</v>
      </c>
      <c r="D52" s="14"/>
      <c r="E52" s="14"/>
      <c r="F52" s="168"/>
      <c r="G52" s="15"/>
      <c r="H52" s="15"/>
      <c r="I52" s="15"/>
      <c r="J52" s="15"/>
      <c r="K52" s="15"/>
      <c r="L52" s="15"/>
      <c r="M52" s="15">
        <v>30.3</v>
      </c>
      <c r="N52" s="15">
        <f>O52+Q52</f>
        <v>41.989325150935315</v>
      </c>
      <c r="O52" s="362">
        <f>O49*0.302</f>
        <v>20.343665286305871</v>
      </c>
      <c r="P52" s="364"/>
      <c r="Q52" s="362">
        <f>Q49*0.302</f>
        <v>21.645659864629447</v>
      </c>
      <c r="R52" s="362">
        <v>27.18</v>
      </c>
      <c r="S52" s="362">
        <v>38</v>
      </c>
      <c r="T52" s="362"/>
      <c r="U52" s="345"/>
      <c r="V52" s="345"/>
      <c r="W52" s="345"/>
      <c r="X52" s="345"/>
      <c r="Y52" s="345">
        <f>Z52+AB52</f>
        <v>43.932031261251929</v>
      </c>
      <c r="Z52" s="345">
        <f>Q52</f>
        <v>21.645659864629447</v>
      </c>
      <c r="AA52" s="345"/>
      <c r="AB52" s="345">
        <f>Z52*$AA$23</f>
        <v>22.286371396622481</v>
      </c>
      <c r="AC52" s="321">
        <v>22.74</v>
      </c>
      <c r="AD52" s="345"/>
      <c r="AE52" s="345"/>
      <c r="AF52" s="345"/>
      <c r="AG52" s="363"/>
      <c r="AH52" s="321">
        <v>45.48</v>
      </c>
      <c r="AI52" s="467">
        <f>AJ52+AK52</f>
        <v>45.455283100551213</v>
      </c>
      <c r="AJ52" s="467">
        <f>AB52</f>
        <v>22.286371396622481</v>
      </c>
      <c r="AK52" s="465">
        <f>AJ52*$AJ$24+AJ52</f>
        <v>23.168911703928732</v>
      </c>
      <c r="AL52" s="472"/>
      <c r="AM52" s="320"/>
    </row>
    <row r="53" spans="1:39" s="396" customFormat="1" ht="15.75">
      <c r="A53" s="428" t="s">
        <v>62</v>
      </c>
      <c r="B53" s="321" t="s">
        <v>130</v>
      </c>
      <c r="C53" s="45" t="s">
        <v>4</v>
      </c>
      <c r="D53" s="296"/>
      <c r="E53" s="15"/>
      <c r="F53" s="168"/>
      <c r="G53" s="15"/>
      <c r="H53" s="15">
        <v>298.185</v>
      </c>
      <c r="I53" s="15">
        <v>186.61</v>
      </c>
      <c r="J53" s="15">
        <v>111.58</v>
      </c>
      <c r="K53" s="15"/>
      <c r="L53" s="15">
        <f>H53*1.2</f>
        <v>357.822</v>
      </c>
      <c r="M53" s="15">
        <v>24.62</v>
      </c>
      <c r="N53" s="15">
        <f>H53-139.04-41.99</f>
        <v>117.155</v>
      </c>
      <c r="O53" s="362">
        <f>N53/2</f>
        <v>58.577500000000001</v>
      </c>
      <c r="P53" s="364">
        <f>P63</f>
        <v>1.0569999999999999</v>
      </c>
      <c r="Q53" s="362">
        <f>O53</f>
        <v>58.577500000000001</v>
      </c>
      <c r="R53" s="362">
        <v>89.95</v>
      </c>
      <c r="S53" s="362">
        <v>115</v>
      </c>
      <c r="T53" s="362"/>
      <c r="U53" s="345"/>
      <c r="V53" s="345"/>
      <c r="W53" s="345"/>
      <c r="X53" s="345"/>
      <c r="Y53" s="345">
        <f>Z53+AB53</f>
        <v>118.88889400000001</v>
      </c>
      <c r="Z53" s="345">
        <f>Q53</f>
        <v>58.577500000000001</v>
      </c>
      <c r="AA53" s="345"/>
      <c r="AB53" s="345">
        <f>Z53*$AA$23</f>
        <v>60.311394000000007</v>
      </c>
      <c r="AC53" s="321">
        <v>40.39</v>
      </c>
      <c r="AD53" s="345"/>
      <c r="AE53" s="345"/>
      <c r="AF53" s="345"/>
      <c r="AG53" s="363"/>
      <c r="AH53" s="321">
        <v>80.78</v>
      </c>
      <c r="AI53" s="467">
        <f>AJ53+AK53</f>
        <v>123.01111920240001</v>
      </c>
      <c r="AJ53" s="467">
        <f>AB53</f>
        <v>60.311394000000007</v>
      </c>
      <c r="AK53" s="465">
        <f>AJ53*$AJ$24+AJ53</f>
        <v>62.69972520240001</v>
      </c>
      <c r="AL53" s="472"/>
      <c r="AM53" s="320"/>
    </row>
    <row r="54" spans="1:39" s="396" customFormat="1" ht="15.75">
      <c r="A54" s="418" t="s">
        <v>32</v>
      </c>
      <c r="B54" s="324" t="s">
        <v>33</v>
      </c>
      <c r="C54" s="45"/>
      <c r="D54" s="45"/>
      <c r="E54" s="45"/>
      <c r="F54" s="38"/>
      <c r="G54" s="15"/>
      <c r="H54" s="15"/>
      <c r="I54" s="15"/>
      <c r="J54" s="15"/>
      <c r="K54" s="15"/>
      <c r="L54" s="15"/>
      <c r="M54" s="15"/>
      <c r="N54" s="15"/>
      <c r="O54" s="362"/>
      <c r="P54" s="364"/>
      <c r="Q54" s="362"/>
      <c r="R54" s="362"/>
      <c r="S54" s="362">
        <v>1488</v>
      </c>
      <c r="T54" s="362"/>
      <c r="U54" s="345"/>
      <c r="V54" s="345"/>
      <c r="W54" s="345"/>
      <c r="X54" s="345"/>
      <c r="Y54" s="375">
        <f>Z54+AB54</f>
        <v>887.75099546616798</v>
      </c>
      <c r="Z54" s="375">
        <f>Z55+Z58+Z63</f>
        <v>437.40194888951913</v>
      </c>
      <c r="AA54" s="375">
        <f t="shared" ref="AA54:AB54" si="13">AA55+AA58+AA63</f>
        <v>2.4401200000000003</v>
      </c>
      <c r="AB54" s="375">
        <f t="shared" si="13"/>
        <v>450.3490465766489</v>
      </c>
      <c r="AC54" s="321">
        <v>904.96</v>
      </c>
      <c r="AD54" s="345"/>
      <c r="AE54" s="345"/>
      <c r="AF54" s="345"/>
      <c r="AG54" s="363"/>
      <c r="AH54" s="321">
        <v>1809.92</v>
      </c>
      <c r="AI54" s="380">
        <f t="shared" ref="AI54" si="14">AI55+AI58+AI63</f>
        <v>918.5319153977332</v>
      </c>
      <c r="AJ54" s="380">
        <f t="shared" ref="AJ54" si="15">AJ55+AJ58+AJ63</f>
        <v>450.3490465766489</v>
      </c>
      <c r="AK54" s="380">
        <f t="shared" ref="AK54" si="16">AK55+AK58+AK63</f>
        <v>468.18286882108418</v>
      </c>
      <c r="AL54" s="472"/>
      <c r="AM54" s="320"/>
    </row>
    <row r="55" spans="1:39" s="396" customFormat="1" ht="15.75">
      <c r="A55" s="428" t="s">
        <v>60</v>
      </c>
      <c r="B55" s="321" t="s">
        <v>131</v>
      </c>
      <c r="C55" s="45" t="s">
        <v>4</v>
      </c>
      <c r="D55" s="45"/>
      <c r="E55" s="45"/>
      <c r="F55" s="168"/>
      <c r="G55" s="15"/>
      <c r="H55" s="15">
        <v>449.47</v>
      </c>
      <c r="I55" s="15">
        <v>218.72</v>
      </c>
      <c r="J55" s="15">
        <v>230.75</v>
      </c>
      <c r="K55" s="15"/>
      <c r="L55" s="15">
        <f>L56*L57*12/1000</f>
        <v>622.76280000000008</v>
      </c>
      <c r="M55" s="15">
        <v>365</v>
      </c>
      <c r="N55" s="15">
        <f>O55+Q55</f>
        <v>607.3680330636264</v>
      </c>
      <c r="O55" s="362">
        <f>ФОТ!C79/2</f>
        <v>294.26745787966394</v>
      </c>
      <c r="P55" s="364">
        <f>P30</f>
        <v>1.0640000000000001</v>
      </c>
      <c r="Q55" s="362">
        <f>Q56*Q57*6/1000</f>
        <v>313.10057518396246</v>
      </c>
      <c r="R55" s="362">
        <v>411.22</v>
      </c>
      <c r="S55" s="362">
        <v>564</v>
      </c>
      <c r="T55" s="493">
        <f>S55-N55</f>
        <v>-43.368033063626399</v>
      </c>
      <c r="U55" s="345"/>
      <c r="V55" s="345"/>
      <c r="W55" s="364">
        <v>1.06</v>
      </c>
      <c r="X55" s="345"/>
      <c r="Y55" s="345">
        <f>Z55+AB55</f>
        <v>635.46892739337022</v>
      </c>
      <c r="Z55" s="345">
        <f>Q55</f>
        <v>313.10057518396246</v>
      </c>
      <c r="AA55" s="364">
        <v>1.06</v>
      </c>
      <c r="AB55" s="345">
        <f>Z55*$AA$23</f>
        <v>322.36835220940776</v>
      </c>
      <c r="AC55" s="321">
        <v>322.37</v>
      </c>
      <c r="AD55" s="345"/>
      <c r="AE55" s="345"/>
      <c r="AF55" s="364">
        <v>1.05</v>
      </c>
      <c r="AG55" s="363"/>
      <c r="AH55" s="321">
        <v>644.74</v>
      </c>
      <c r="AI55" s="467">
        <f>AJ55+AK55</f>
        <v>657.50249116630812</v>
      </c>
      <c r="AJ55" s="467">
        <f>AB55</f>
        <v>322.36835220940776</v>
      </c>
      <c r="AK55" s="465">
        <f>AJ55*$AJ$24+AJ55</f>
        <v>335.1341389569003</v>
      </c>
      <c r="AL55" s="472"/>
      <c r="AM55" s="320"/>
    </row>
    <row r="56" spans="1:39" s="396" customFormat="1" ht="15.75">
      <c r="A56" s="428"/>
      <c r="B56" s="325" t="s">
        <v>13</v>
      </c>
      <c r="C56" s="45" t="s">
        <v>50</v>
      </c>
      <c r="D56" s="45"/>
      <c r="E56" s="45"/>
      <c r="F56" s="182"/>
      <c r="G56" s="36"/>
      <c r="H56" s="36">
        <v>1.0900000000000001</v>
      </c>
      <c r="I56" s="36">
        <v>1.0900000000000001</v>
      </c>
      <c r="J56" s="36">
        <v>1.0900000000000001</v>
      </c>
      <c r="K56" s="36"/>
      <c r="L56" s="36">
        <v>1.1000000000000001</v>
      </c>
      <c r="M56" s="36">
        <v>1.38</v>
      </c>
      <c r="N56" s="36">
        <f>ФОТ!F79</f>
        <v>1.561272850689434</v>
      </c>
      <c r="O56" s="351">
        <f>ФОТ!F79</f>
        <v>1.561272850689434</v>
      </c>
      <c r="P56" s="351"/>
      <c r="Q56" s="351">
        <f>O56</f>
        <v>1.561272850689434</v>
      </c>
      <c r="R56" s="351">
        <v>1.54</v>
      </c>
      <c r="S56" s="351">
        <v>1.56</v>
      </c>
      <c r="T56" s="351"/>
      <c r="U56" s="345"/>
      <c r="V56" s="345"/>
      <c r="W56" s="345"/>
      <c r="X56" s="345"/>
      <c r="Y56" s="345">
        <v>1.56</v>
      </c>
      <c r="Z56" s="345">
        <v>1.56</v>
      </c>
      <c r="AA56" s="345"/>
      <c r="AB56" s="345">
        <v>1.56</v>
      </c>
      <c r="AC56" s="321">
        <v>1.87</v>
      </c>
      <c r="AD56" s="345"/>
      <c r="AE56" s="345"/>
      <c r="AF56" s="345"/>
      <c r="AG56" s="363"/>
      <c r="AH56" s="321">
        <v>1.87</v>
      </c>
      <c r="AI56" s="345">
        <v>1.56</v>
      </c>
      <c r="AJ56" s="345">
        <v>1.56</v>
      </c>
      <c r="AK56" s="363">
        <v>1.56</v>
      </c>
      <c r="AL56" s="472"/>
      <c r="AM56" s="320"/>
    </row>
    <row r="57" spans="1:39" s="512" customFormat="1">
      <c r="A57" s="506"/>
      <c r="B57" s="504" t="s">
        <v>14</v>
      </c>
      <c r="C57" s="507" t="s">
        <v>51</v>
      </c>
      <c r="D57" s="507"/>
      <c r="E57" s="507"/>
      <c r="F57" s="505"/>
      <c r="G57" s="505"/>
      <c r="H57" s="505">
        <v>34255.21</v>
      </c>
      <c r="I57" s="505">
        <v>33338.400000000001</v>
      </c>
      <c r="J57" s="505">
        <v>35172.01</v>
      </c>
      <c r="K57" s="505"/>
      <c r="L57" s="505">
        <f>42890*1.1</f>
        <v>47179.000000000007</v>
      </c>
      <c r="M57" s="505">
        <v>29535.15</v>
      </c>
      <c r="N57" s="509">
        <f>N55/N56/12*1000</f>
        <v>32418.422399999996</v>
      </c>
      <c r="O57" s="509">
        <f>O55/O56/6*1000</f>
        <v>31413.200000000001</v>
      </c>
      <c r="P57" s="509"/>
      <c r="Q57" s="509">
        <f>O57*P55</f>
        <v>33423.644800000002</v>
      </c>
      <c r="R57" s="509">
        <v>29669.55</v>
      </c>
      <c r="S57" s="509">
        <v>30128.21</v>
      </c>
      <c r="T57" s="505"/>
      <c r="U57" s="508"/>
      <c r="V57" s="508"/>
      <c r="W57" s="508"/>
      <c r="X57" s="508"/>
      <c r="Y57" s="509">
        <f>Y55/Y56/12*1000</f>
        <v>33945.989711184302</v>
      </c>
      <c r="Z57" s="509">
        <f t="shared" ref="Z57:AB57" si="17">Z55/Z56/6*1000</f>
        <v>33450.916152132741</v>
      </c>
      <c r="AA57" s="509" t="e">
        <f t="shared" si="17"/>
        <v>#DIV/0!</v>
      </c>
      <c r="AB57" s="509">
        <f t="shared" si="17"/>
        <v>34441.063270235871</v>
      </c>
      <c r="AC57" s="509">
        <v>28731.73</v>
      </c>
      <c r="AD57" s="509"/>
      <c r="AE57" s="509"/>
      <c r="AF57" s="509"/>
      <c r="AG57" s="509"/>
      <c r="AH57" s="509">
        <v>28731.73</v>
      </c>
      <c r="AI57" s="509">
        <f>AI55/AI56/12*1000</f>
        <v>35122.996322986546</v>
      </c>
      <c r="AJ57" s="509">
        <f>AJ55/AJ56/6*1000</f>
        <v>34441.063270235871</v>
      </c>
      <c r="AK57" s="509">
        <f>AK55/AK56/6*1000</f>
        <v>35804.929375737207</v>
      </c>
      <c r="AL57" s="509"/>
      <c r="AM57" s="510"/>
    </row>
    <row r="58" spans="1:39" s="396" customFormat="1" ht="15.75">
      <c r="A58" s="428" t="s">
        <v>61</v>
      </c>
      <c r="B58" s="321" t="s">
        <v>132</v>
      </c>
      <c r="C58" s="14" t="s">
        <v>31</v>
      </c>
      <c r="D58" s="14"/>
      <c r="E58" s="14"/>
      <c r="F58" s="168"/>
      <c r="G58" s="15"/>
      <c r="H58" s="15">
        <v>135.74</v>
      </c>
      <c r="I58" s="15">
        <v>66.05</v>
      </c>
      <c r="J58" s="15">
        <v>69.69</v>
      </c>
      <c r="K58" s="15"/>
      <c r="L58" s="15">
        <f>L55*0.302</f>
        <v>188.07436560000002</v>
      </c>
      <c r="M58" s="15">
        <v>110</v>
      </c>
      <c r="N58" s="15">
        <f>O58+Q58</f>
        <v>183.42514598521518</v>
      </c>
      <c r="O58" s="362">
        <f>O55*0.302</f>
        <v>88.868772279658501</v>
      </c>
      <c r="P58" s="362"/>
      <c r="Q58" s="362">
        <f>Q55*0.302</f>
        <v>94.556373705556666</v>
      </c>
      <c r="R58" s="362">
        <v>114.37</v>
      </c>
      <c r="S58" s="362">
        <v>160</v>
      </c>
      <c r="T58" s="362"/>
      <c r="U58" s="345"/>
      <c r="V58" s="345"/>
      <c r="W58" s="345"/>
      <c r="X58" s="345"/>
      <c r="Y58" s="345">
        <f t="shared" ref="Y58:AB58" si="18">Y55*0.302</f>
        <v>191.91161607279781</v>
      </c>
      <c r="Z58" s="345">
        <f t="shared" si="18"/>
        <v>94.556373705556666</v>
      </c>
      <c r="AA58" s="345">
        <f t="shared" si="18"/>
        <v>0.32012000000000002</v>
      </c>
      <c r="AB58" s="345">
        <f t="shared" si="18"/>
        <v>97.355242367241146</v>
      </c>
      <c r="AC58" s="321">
        <v>97.34</v>
      </c>
      <c r="AD58" s="345"/>
      <c r="AE58" s="345"/>
      <c r="AF58" s="345"/>
      <c r="AG58" s="363"/>
      <c r="AH58" s="321">
        <v>194.68</v>
      </c>
      <c r="AI58" s="345">
        <f t="shared" ref="AI58:AK58" si="19">AI55*0.302</f>
        <v>198.56575233222506</v>
      </c>
      <c r="AJ58" s="345">
        <f t="shared" si="19"/>
        <v>97.355242367241146</v>
      </c>
      <c r="AK58" s="345">
        <f t="shared" si="19"/>
        <v>101.21050996498388</v>
      </c>
      <c r="AL58" s="472"/>
      <c r="AM58" s="320"/>
    </row>
    <row r="59" spans="1:39" s="396" customFormat="1" ht="27.75" hidden="1" customHeight="1">
      <c r="A59" s="428" t="s">
        <v>79</v>
      </c>
      <c r="B59" s="323" t="s">
        <v>150</v>
      </c>
      <c r="C59" s="45" t="s">
        <v>4</v>
      </c>
      <c r="D59" s="45"/>
      <c r="E59" s="45"/>
      <c r="F59" s="38"/>
      <c r="G59" s="15"/>
      <c r="H59" s="15"/>
      <c r="I59" s="15"/>
      <c r="J59" s="15"/>
      <c r="K59" s="15"/>
      <c r="L59" s="15"/>
      <c r="M59" s="15"/>
      <c r="N59" s="15"/>
      <c r="O59" s="362"/>
      <c r="P59" s="364">
        <f>P55</f>
        <v>1.0640000000000001</v>
      </c>
      <c r="Q59" s="362"/>
      <c r="R59" s="362"/>
      <c r="S59" s="362"/>
      <c r="T59" s="362"/>
      <c r="U59" s="345"/>
      <c r="V59" s="345"/>
      <c r="W59" s="345"/>
      <c r="X59" s="345"/>
      <c r="Y59" s="345"/>
      <c r="Z59" s="345"/>
      <c r="AA59" s="345"/>
      <c r="AB59" s="345"/>
      <c r="AC59" s="321"/>
      <c r="AD59" s="345"/>
      <c r="AE59" s="345"/>
      <c r="AF59" s="345"/>
      <c r="AG59" s="363"/>
      <c r="AH59" s="321"/>
      <c r="AI59" s="345"/>
      <c r="AJ59" s="345"/>
      <c r="AK59" s="363"/>
      <c r="AL59" s="472"/>
      <c r="AM59" s="320"/>
    </row>
    <row r="60" spans="1:39" s="396" customFormat="1" ht="15" hidden="1" customHeight="1">
      <c r="A60" s="428"/>
      <c r="B60" s="325" t="s">
        <v>13</v>
      </c>
      <c r="C60" s="45" t="s">
        <v>50</v>
      </c>
      <c r="D60" s="45"/>
      <c r="E60" s="45"/>
      <c r="F60" s="38"/>
      <c r="G60" s="37"/>
      <c r="H60" s="37"/>
      <c r="I60" s="37"/>
      <c r="J60" s="37"/>
      <c r="K60" s="37"/>
      <c r="L60" s="37"/>
      <c r="M60" s="37"/>
      <c r="N60" s="37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21"/>
      <c r="AD60" s="365"/>
      <c r="AE60" s="345"/>
      <c r="AF60" s="345"/>
      <c r="AG60" s="363"/>
      <c r="AH60" s="321"/>
      <c r="AI60" s="365"/>
      <c r="AJ60" s="345"/>
      <c r="AK60" s="363"/>
      <c r="AL60" s="472"/>
      <c r="AM60" s="320"/>
    </row>
    <row r="61" spans="1:39" s="396" customFormat="1" ht="15" hidden="1" customHeight="1">
      <c r="A61" s="428"/>
      <c r="B61" s="325" t="s">
        <v>14</v>
      </c>
      <c r="C61" s="45" t="s">
        <v>51</v>
      </c>
      <c r="D61" s="45"/>
      <c r="E61" s="45"/>
      <c r="F61" s="38"/>
      <c r="G61" s="37"/>
      <c r="H61" s="37"/>
      <c r="I61" s="37"/>
      <c r="J61" s="37"/>
      <c r="K61" s="37"/>
      <c r="L61" s="37"/>
      <c r="M61" s="37"/>
      <c r="N61" s="37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21"/>
      <c r="AD61" s="365"/>
      <c r="AE61" s="345"/>
      <c r="AF61" s="345"/>
      <c r="AG61" s="363"/>
      <c r="AH61" s="321"/>
      <c r="AI61" s="365"/>
      <c r="AJ61" s="345"/>
      <c r="AK61" s="363"/>
      <c r="AL61" s="472"/>
      <c r="AM61" s="320"/>
    </row>
    <row r="62" spans="1:39" s="396" customFormat="1" ht="15" hidden="1" customHeight="1">
      <c r="A62" s="428" t="s">
        <v>64</v>
      </c>
      <c r="B62" s="321" t="s">
        <v>132</v>
      </c>
      <c r="C62" s="14" t="s">
        <v>31</v>
      </c>
      <c r="D62" s="14"/>
      <c r="E62" s="14"/>
      <c r="F62" s="38"/>
      <c r="G62" s="15"/>
      <c r="H62" s="15"/>
      <c r="I62" s="15"/>
      <c r="J62" s="15"/>
      <c r="K62" s="15"/>
      <c r="L62" s="15"/>
      <c r="M62" s="15"/>
      <c r="N62" s="15"/>
      <c r="O62" s="362"/>
      <c r="P62" s="362"/>
      <c r="Q62" s="362"/>
      <c r="R62" s="362"/>
      <c r="S62" s="362"/>
      <c r="T62" s="362"/>
      <c r="U62" s="345"/>
      <c r="V62" s="345"/>
      <c r="W62" s="345"/>
      <c r="X62" s="345"/>
      <c r="Y62" s="345"/>
      <c r="Z62" s="345"/>
      <c r="AA62" s="345"/>
      <c r="AB62" s="345"/>
      <c r="AC62" s="321"/>
      <c r="AD62" s="345"/>
      <c r="AE62" s="345"/>
      <c r="AF62" s="345"/>
      <c r="AG62" s="363"/>
      <c r="AH62" s="321"/>
      <c r="AI62" s="345"/>
      <c r="AJ62" s="345"/>
      <c r="AK62" s="363"/>
      <c r="AL62" s="472"/>
      <c r="AM62" s="320"/>
    </row>
    <row r="63" spans="1:39" s="396" customFormat="1" ht="15.75">
      <c r="A63" s="428" t="s">
        <v>79</v>
      </c>
      <c r="B63" s="321" t="s">
        <v>133</v>
      </c>
      <c r="C63" s="14" t="s">
        <v>31</v>
      </c>
      <c r="D63" s="15"/>
      <c r="E63" s="15"/>
      <c r="F63" s="168"/>
      <c r="G63" s="15"/>
      <c r="H63" s="15">
        <v>79.504999999999995</v>
      </c>
      <c r="I63" s="15">
        <v>49.76</v>
      </c>
      <c r="J63" s="15">
        <v>29.745000000000001</v>
      </c>
      <c r="K63" s="15"/>
      <c r="L63" s="15">
        <v>123.88</v>
      </c>
      <c r="M63" s="15">
        <v>484.59</v>
      </c>
      <c r="N63" s="15">
        <f>O63+Q63</f>
        <v>59.49</v>
      </c>
      <c r="O63" s="362">
        <f>J63</f>
        <v>29.745000000000001</v>
      </c>
      <c r="P63" s="364">
        <f>P42</f>
        <v>1.0569999999999999</v>
      </c>
      <c r="Q63" s="362">
        <f>O63</f>
        <v>29.745000000000001</v>
      </c>
      <c r="R63" s="362">
        <v>523</v>
      </c>
      <c r="S63" s="362">
        <v>764</v>
      </c>
      <c r="T63" s="362"/>
      <c r="U63" s="345"/>
      <c r="V63" s="345"/>
      <c r="W63" s="345"/>
      <c r="X63" s="345"/>
      <c r="Y63" s="345">
        <f>Z63+AB63</f>
        <v>60.370452</v>
      </c>
      <c r="Z63" s="345">
        <f>Q63</f>
        <v>29.745000000000001</v>
      </c>
      <c r="AA63" s="364">
        <v>1.06</v>
      </c>
      <c r="AB63" s="345">
        <f>Z63*$AA$23</f>
        <v>30.625452000000003</v>
      </c>
      <c r="AC63" s="321">
        <v>475.25</v>
      </c>
      <c r="AD63" s="345"/>
      <c r="AE63" s="345"/>
      <c r="AF63" s="345"/>
      <c r="AG63" s="363"/>
      <c r="AH63" s="321">
        <v>950.5</v>
      </c>
      <c r="AI63" s="467">
        <f>AJ63+AK63</f>
        <v>62.463671899200008</v>
      </c>
      <c r="AJ63" s="467">
        <f>AB63</f>
        <v>30.625452000000003</v>
      </c>
      <c r="AK63" s="465">
        <f>AJ63*$AJ$24+AJ63</f>
        <v>31.838219899200002</v>
      </c>
      <c r="AL63" s="472"/>
      <c r="AM63" s="320"/>
    </row>
    <row r="64" spans="1:39" s="413" customFormat="1" ht="15.75">
      <c r="A64" s="422" t="s">
        <v>20</v>
      </c>
      <c r="B64" s="442" t="s">
        <v>152</v>
      </c>
      <c r="C64" s="436" t="s">
        <v>4</v>
      </c>
      <c r="D64" s="443"/>
      <c r="E64" s="443"/>
      <c r="F64" s="443"/>
      <c r="G64" s="443"/>
      <c r="H64" s="443">
        <v>460.12</v>
      </c>
      <c r="I64" s="443">
        <v>221.74</v>
      </c>
      <c r="J64" s="443">
        <v>238.37</v>
      </c>
      <c r="K64" s="443"/>
      <c r="L64" s="443">
        <f>L65</f>
        <v>524.08600000000001</v>
      </c>
      <c r="M64" s="443">
        <v>332.87</v>
      </c>
      <c r="N64" s="443">
        <f>O64+Q64</f>
        <v>517.10339212470012</v>
      </c>
      <c r="O64" s="424">
        <f>O65</f>
        <v>249.20645403600003</v>
      </c>
      <c r="P64" s="425"/>
      <c r="Q64" s="424">
        <f>Q65</f>
        <v>267.89693808870004</v>
      </c>
      <c r="R64" s="424">
        <v>364.94</v>
      </c>
      <c r="S64" s="424">
        <v>523</v>
      </c>
      <c r="T64" s="493">
        <f>S64-N64</f>
        <v>5.8966078752998783</v>
      </c>
      <c r="U64" s="424">
        <f>V64+X64</f>
        <v>554.54666184360906</v>
      </c>
      <c r="V64" s="424">
        <f>V68</f>
        <v>267.89693808870004</v>
      </c>
      <c r="W64" s="424"/>
      <c r="X64" s="424">
        <f>X68</f>
        <v>286.64972375490902</v>
      </c>
      <c r="Y64" s="424">
        <f>Z64+AB64</f>
        <v>479.72294881840003</v>
      </c>
      <c r="Z64" s="424">
        <f>Z72*Z73</f>
        <v>233.8970984</v>
      </c>
      <c r="AA64" s="424"/>
      <c r="AB64" s="424">
        <f>AB72*AB73</f>
        <v>245.82585041839999</v>
      </c>
      <c r="AC64" s="426">
        <v>325.39999999999998</v>
      </c>
      <c r="AD64" s="424">
        <f>AE64+AG64</f>
        <v>591.07173038262249</v>
      </c>
      <c r="AE64" s="424">
        <f>AE68</f>
        <v>286.64972375490902</v>
      </c>
      <c r="AF64" s="424"/>
      <c r="AG64" s="424">
        <f>AG68</f>
        <v>304.42200662771342</v>
      </c>
      <c r="AH64" s="427">
        <v>681.38</v>
      </c>
      <c r="AI64" s="424">
        <f>AI65</f>
        <v>522.79230684010804</v>
      </c>
      <c r="AJ64" s="424">
        <f>AJ65</f>
        <v>255.39438536399999</v>
      </c>
      <c r="AK64" s="424">
        <f>AK65</f>
        <v>267.39792147610802</v>
      </c>
      <c r="AL64" s="472">
        <f>AI64-Y64</f>
        <v>43.069358021708013</v>
      </c>
      <c r="AM64" s="472">
        <f>AI64-AD64</f>
        <v>-68.279423542514451</v>
      </c>
    </row>
    <row r="65" spans="1:39" s="413" customFormat="1" ht="15.75">
      <c r="A65" s="428" t="s">
        <v>65</v>
      </c>
      <c r="B65" s="329" t="s">
        <v>66</v>
      </c>
      <c r="C65" s="35" t="s">
        <v>31</v>
      </c>
      <c r="D65" s="38"/>
      <c r="E65" s="8"/>
      <c r="F65" s="38"/>
      <c r="G65" s="38"/>
      <c r="H65" s="38">
        <v>460.12</v>
      </c>
      <c r="I65" s="38">
        <v>221.74</v>
      </c>
      <c r="J65" s="38">
        <v>238.37</v>
      </c>
      <c r="K65" s="38"/>
      <c r="L65" s="38">
        <f>L68</f>
        <v>524.08600000000001</v>
      </c>
      <c r="M65" s="38">
        <v>332.87</v>
      </c>
      <c r="N65" s="437">
        <f>O65+Q65</f>
        <v>517.10339212470012</v>
      </c>
      <c r="O65" s="371">
        <f>O68</f>
        <v>249.20645403600003</v>
      </c>
      <c r="P65" s="370"/>
      <c r="Q65" s="371">
        <f>Q68</f>
        <v>267.89693808870004</v>
      </c>
      <c r="R65" s="371">
        <v>364.94</v>
      </c>
      <c r="S65" s="371">
        <v>523</v>
      </c>
      <c r="T65" s="371"/>
      <c r="U65" s="371"/>
      <c r="V65" s="371"/>
      <c r="W65" s="371"/>
      <c r="X65" s="371"/>
      <c r="Y65" s="371"/>
      <c r="Z65" s="371"/>
      <c r="AA65" s="371"/>
      <c r="AB65" s="371"/>
      <c r="AC65" s="444">
        <v>325.39999999999998</v>
      </c>
      <c r="AD65" s="371"/>
      <c r="AE65" s="371"/>
      <c r="AF65" s="371"/>
      <c r="AG65" s="371"/>
      <c r="AH65" s="444">
        <v>681.38</v>
      </c>
      <c r="AI65" s="371">
        <f>AJ65+AK65</f>
        <v>522.79230684010804</v>
      </c>
      <c r="AJ65" s="371">
        <f>AJ68+AJ71</f>
        <v>255.39438536399999</v>
      </c>
      <c r="AK65" s="371">
        <f>AK68+AK71</f>
        <v>267.39792147610802</v>
      </c>
      <c r="AL65" s="472"/>
      <c r="AM65" s="477"/>
    </row>
    <row r="66" spans="1:39" s="413" customFormat="1" ht="15.75">
      <c r="A66" s="418"/>
      <c r="B66" s="330" t="s">
        <v>47</v>
      </c>
      <c r="C66" s="295" t="s">
        <v>9</v>
      </c>
      <c r="D66" s="8"/>
      <c r="E66" s="8"/>
      <c r="F66" s="38"/>
      <c r="G66" s="38"/>
      <c r="H66" s="38">
        <v>84.53</v>
      </c>
      <c r="I66" s="38">
        <v>42.27</v>
      </c>
      <c r="J66" s="38">
        <v>42.27</v>
      </c>
      <c r="K66" s="38"/>
      <c r="L66" s="38">
        <f>L70</f>
        <v>84.53</v>
      </c>
      <c r="M66" s="38">
        <v>63.84</v>
      </c>
      <c r="N66" s="437">
        <f>O66+Q66</f>
        <v>84.54</v>
      </c>
      <c r="O66" s="371">
        <f>O70</f>
        <v>42.27</v>
      </c>
      <c r="P66" s="371"/>
      <c r="Q66" s="371">
        <f>Q70</f>
        <v>42.27</v>
      </c>
      <c r="R66" s="371">
        <v>66.459999999999994</v>
      </c>
      <c r="S66" s="371">
        <v>94.54</v>
      </c>
      <c r="T66" s="371"/>
      <c r="U66" s="371"/>
      <c r="V66" s="371"/>
      <c r="W66" s="371"/>
      <c r="X66" s="371"/>
      <c r="Y66" s="371"/>
      <c r="Z66" s="371"/>
      <c r="AA66" s="371"/>
      <c r="AB66" s="371"/>
      <c r="AC66" s="444">
        <v>55</v>
      </c>
      <c r="AD66" s="371">
        <f>AD70+AD73</f>
        <v>84.54</v>
      </c>
      <c r="AE66" s="371">
        <f>AE70+AE73</f>
        <v>42.27</v>
      </c>
      <c r="AF66" s="371"/>
      <c r="AG66" s="371">
        <f>AG70+AG73</f>
        <v>42.27</v>
      </c>
      <c r="AH66" s="444">
        <v>110</v>
      </c>
      <c r="AI66" s="371">
        <f>AD66</f>
        <v>84.54</v>
      </c>
      <c r="AJ66" s="371">
        <f>AI66/2</f>
        <v>42.27</v>
      </c>
      <c r="AK66" s="371">
        <f>AI66-AJ66</f>
        <v>42.27</v>
      </c>
      <c r="AL66" s="472"/>
      <c r="AM66" s="477"/>
    </row>
    <row r="67" spans="1:39" s="413" customFormat="1" ht="31.5">
      <c r="A67" s="428"/>
      <c r="B67" s="383" t="s">
        <v>19</v>
      </c>
      <c r="C67" s="45" t="s">
        <v>25</v>
      </c>
      <c r="D67" s="38"/>
      <c r="E67" s="38"/>
      <c r="F67" s="38"/>
      <c r="G67" s="38"/>
      <c r="H67" s="38">
        <f>H66/H12</f>
        <v>0.39872641509433965</v>
      </c>
      <c r="I67" s="38">
        <v>0.4</v>
      </c>
      <c r="J67" s="38">
        <v>0.4</v>
      </c>
      <c r="K67" s="38"/>
      <c r="L67" s="38">
        <f>L66/L12</f>
        <v>0.39872641509433965</v>
      </c>
      <c r="M67" s="38">
        <v>0.37</v>
      </c>
      <c r="N67" s="371">
        <f>N66/N12</f>
        <v>0.39877358490566039</v>
      </c>
      <c r="O67" s="371">
        <f>O66/O12</f>
        <v>0.39877358490566039</v>
      </c>
      <c r="P67" s="371"/>
      <c r="Q67" s="371">
        <f>Q66/Q12</f>
        <v>0.39877358490566039</v>
      </c>
      <c r="R67" s="371">
        <v>0.39</v>
      </c>
      <c r="S67" s="371">
        <v>0.4</v>
      </c>
      <c r="T67" s="371"/>
      <c r="U67" s="371"/>
      <c r="V67" s="371"/>
      <c r="W67" s="371"/>
      <c r="X67" s="371"/>
      <c r="Y67" s="371"/>
      <c r="Z67" s="371"/>
      <c r="AA67" s="371"/>
      <c r="AB67" s="371"/>
      <c r="AC67" s="406">
        <v>0.47</v>
      </c>
      <c r="AD67" s="469"/>
      <c r="AE67" s="469"/>
      <c r="AF67" s="469"/>
      <c r="AG67" s="469"/>
      <c r="AH67" s="406">
        <v>0.47</v>
      </c>
      <c r="AI67" s="469">
        <v>0.4</v>
      </c>
      <c r="AJ67" s="469">
        <v>0.4</v>
      </c>
      <c r="AK67" s="469">
        <v>0.4</v>
      </c>
      <c r="AL67" s="472"/>
      <c r="AM67" s="477"/>
    </row>
    <row r="68" spans="1:39" s="393" customFormat="1" ht="15.75">
      <c r="A68" s="428" t="s">
        <v>67</v>
      </c>
      <c r="B68" s="326" t="s">
        <v>46</v>
      </c>
      <c r="C68" s="45" t="s">
        <v>4</v>
      </c>
      <c r="D68" s="45"/>
      <c r="E68" s="40"/>
      <c r="F68" s="38"/>
      <c r="G68" s="38"/>
      <c r="H68" s="38">
        <v>460.12</v>
      </c>
      <c r="I68" s="38">
        <v>221.74</v>
      </c>
      <c r="J68" s="38">
        <v>238.37</v>
      </c>
      <c r="K68" s="38"/>
      <c r="L68" s="38">
        <f>L69*L70</f>
        <v>524.08600000000001</v>
      </c>
      <c r="M68" s="38"/>
      <c r="N68" s="371">
        <f>O68+Q68</f>
        <v>517.10339212470012</v>
      </c>
      <c r="O68" s="371">
        <f>O69*O70</f>
        <v>249.20645403600003</v>
      </c>
      <c r="P68" s="371"/>
      <c r="Q68" s="371">
        <f>Q69*Q70</f>
        <v>267.89693808870004</v>
      </c>
      <c r="R68" s="371">
        <v>0</v>
      </c>
      <c r="S68" s="371"/>
      <c r="T68" s="371"/>
      <c r="U68" s="371">
        <f>V68+X68</f>
        <v>554.54666184360906</v>
      </c>
      <c r="V68" s="371">
        <f>V69*V70</f>
        <v>267.89693808870004</v>
      </c>
      <c r="W68" s="371"/>
      <c r="X68" s="371">
        <f>X69*X70</f>
        <v>286.64972375490902</v>
      </c>
      <c r="Y68" s="371"/>
      <c r="Z68" s="371"/>
      <c r="AA68" s="371"/>
      <c r="AB68" s="371"/>
      <c r="AC68" s="435"/>
      <c r="AD68" s="371">
        <f>AE68+AG68</f>
        <v>591.07173038262249</v>
      </c>
      <c r="AE68" s="371">
        <f>AE69*AE70</f>
        <v>286.64972375490902</v>
      </c>
      <c r="AF68" s="371"/>
      <c r="AG68" s="371">
        <f>AG69*AG70</f>
        <v>304.42200662771342</v>
      </c>
      <c r="AH68" s="435"/>
      <c r="AI68" s="371"/>
      <c r="AJ68" s="371"/>
      <c r="AK68" s="371"/>
      <c r="AL68" s="472"/>
      <c r="AM68" s="479"/>
    </row>
    <row r="69" spans="1:39" s="396" customFormat="1" ht="15.75">
      <c r="A69" s="428"/>
      <c r="B69" s="317" t="s">
        <v>181</v>
      </c>
      <c r="C69" s="45" t="s">
        <v>10</v>
      </c>
      <c r="D69" s="45"/>
      <c r="E69" s="36"/>
      <c r="F69" s="182"/>
      <c r="G69" s="36"/>
      <c r="H69" s="36">
        <v>5.44</v>
      </c>
      <c r="I69" s="36">
        <v>5.25</v>
      </c>
      <c r="J69" s="36">
        <v>5.64</v>
      </c>
      <c r="K69" s="36"/>
      <c r="L69" s="36">
        <v>6.2</v>
      </c>
      <c r="M69" s="36"/>
      <c r="N69" s="36">
        <f>N68/N70</f>
        <v>6.1166713050000006</v>
      </c>
      <c r="O69" s="351">
        <f>4.99626*1.18</f>
        <v>5.8955868000000002</v>
      </c>
      <c r="P69" s="364">
        <v>1.075</v>
      </c>
      <c r="Q69" s="351">
        <f>O69*P69</f>
        <v>6.33775581</v>
      </c>
      <c r="R69" s="351">
        <v>0</v>
      </c>
      <c r="S69" s="351"/>
      <c r="T69" s="351"/>
      <c r="U69" s="351">
        <f>U68/U70</f>
        <v>6.5595772633500005</v>
      </c>
      <c r="V69" s="351">
        <f>Q69</f>
        <v>6.33775581</v>
      </c>
      <c r="W69" s="364">
        <v>1.07</v>
      </c>
      <c r="X69" s="351">
        <f>V69*W69</f>
        <v>6.7813987167000001</v>
      </c>
      <c r="Y69" s="351"/>
      <c r="Z69" s="351"/>
      <c r="AA69" s="364"/>
      <c r="AB69" s="351"/>
      <c r="AC69" s="321"/>
      <c r="AD69" s="351">
        <f>AD68/AD70</f>
        <v>6.9916220769177011</v>
      </c>
      <c r="AE69" s="351">
        <f>X69</f>
        <v>6.7813987167000001</v>
      </c>
      <c r="AF69" s="364">
        <v>1.0620000000000001</v>
      </c>
      <c r="AG69" s="351">
        <f>AE69*AF69</f>
        <v>7.2018454371354004</v>
      </c>
      <c r="AH69" s="321"/>
      <c r="AI69" s="351"/>
      <c r="AJ69" s="351"/>
      <c r="AK69" s="351"/>
      <c r="AL69" s="472"/>
      <c r="AM69" s="320"/>
    </row>
    <row r="70" spans="1:39" s="396" customFormat="1" ht="15.75">
      <c r="A70" s="428"/>
      <c r="B70" s="332" t="s">
        <v>76</v>
      </c>
      <c r="C70" s="45" t="s">
        <v>9</v>
      </c>
      <c r="D70" s="45"/>
      <c r="E70" s="36"/>
      <c r="F70" s="182"/>
      <c r="G70" s="36"/>
      <c r="H70" s="36">
        <v>84.53</v>
      </c>
      <c r="I70" s="36">
        <v>42.27</v>
      </c>
      <c r="J70" s="36">
        <v>42.27</v>
      </c>
      <c r="K70" s="36"/>
      <c r="L70" s="36">
        <f>H70</f>
        <v>84.53</v>
      </c>
      <c r="M70" s="36"/>
      <c r="N70" s="36">
        <f>O70+Q70</f>
        <v>84.54</v>
      </c>
      <c r="O70" s="351">
        <f>J70</f>
        <v>42.27</v>
      </c>
      <c r="P70" s="351"/>
      <c r="Q70" s="351">
        <f>O70</f>
        <v>42.27</v>
      </c>
      <c r="R70" s="351">
        <v>0</v>
      </c>
      <c r="S70" s="351"/>
      <c r="T70" s="351"/>
      <c r="U70" s="351">
        <f>V70+X70</f>
        <v>84.54</v>
      </c>
      <c r="V70" s="351">
        <f>Q70</f>
        <v>42.27</v>
      </c>
      <c r="W70" s="351"/>
      <c r="X70" s="351">
        <f>V70</f>
        <v>42.27</v>
      </c>
      <c r="Y70" s="351"/>
      <c r="Z70" s="351"/>
      <c r="AA70" s="351"/>
      <c r="AB70" s="351"/>
      <c r="AC70" s="321"/>
      <c r="AD70" s="351">
        <f>AE70+AG70</f>
        <v>84.54</v>
      </c>
      <c r="AE70" s="351">
        <f>X70</f>
        <v>42.27</v>
      </c>
      <c r="AF70" s="351"/>
      <c r="AG70" s="363">
        <f>AE70</f>
        <v>42.27</v>
      </c>
      <c r="AH70" s="321"/>
      <c r="AI70" s="351"/>
      <c r="AJ70" s="351"/>
      <c r="AK70" s="363"/>
      <c r="AL70" s="472"/>
      <c r="AM70" s="320"/>
    </row>
    <row r="71" spans="1:39" s="396" customFormat="1" ht="15" customHeight="1">
      <c r="A71" s="428" t="s">
        <v>67</v>
      </c>
      <c r="B71" s="326" t="s">
        <v>168</v>
      </c>
      <c r="C71" s="45" t="s">
        <v>4</v>
      </c>
      <c r="D71" s="6"/>
      <c r="E71" s="8"/>
      <c r="F71" s="38"/>
      <c r="G71" s="8"/>
      <c r="H71" s="8"/>
      <c r="I71" s="8"/>
      <c r="J71" s="8"/>
      <c r="K71" s="8"/>
      <c r="L71" s="8"/>
      <c r="M71" s="8">
        <v>332.87299999999999</v>
      </c>
      <c r="N71" s="8"/>
      <c r="O71" s="345"/>
      <c r="P71" s="345"/>
      <c r="Q71" s="345"/>
      <c r="R71" s="345">
        <v>364.94</v>
      </c>
      <c r="S71" s="345">
        <v>523</v>
      </c>
      <c r="T71" s="345"/>
      <c r="U71" s="345"/>
      <c r="V71" s="345"/>
      <c r="W71" s="345"/>
      <c r="X71" s="345"/>
      <c r="Y71" s="345">
        <f>Z71+AB71</f>
        <v>479.72294881840003</v>
      </c>
      <c r="Z71" s="345">
        <f>Z72*Z73</f>
        <v>233.8970984</v>
      </c>
      <c r="AA71" s="345"/>
      <c r="AB71" s="345">
        <f>AB72*AB73</f>
        <v>245.82585041839999</v>
      </c>
      <c r="AC71" s="321">
        <v>325.39999999999998</v>
      </c>
      <c r="AD71" s="345">
        <f>AE71+AG71</f>
        <v>0</v>
      </c>
      <c r="AE71" s="345">
        <f>AE74*AE72</f>
        <v>0</v>
      </c>
      <c r="AF71" s="345"/>
      <c r="AG71" s="371">
        <f>AG74*AG72</f>
        <v>0</v>
      </c>
      <c r="AH71" s="321">
        <v>681.38</v>
      </c>
      <c r="AI71" s="345">
        <f>AJ71+AK71</f>
        <v>522.79230684010804</v>
      </c>
      <c r="AJ71" s="345">
        <f>AJ72*AJ73</f>
        <v>255.39438536399999</v>
      </c>
      <c r="AK71" s="345">
        <f>AK72*AK73</f>
        <v>267.39792147610802</v>
      </c>
      <c r="AL71" s="472"/>
      <c r="AM71" s="320"/>
    </row>
    <row r="72" spans="1:39" s="396" customFormat="1" ht="15" customHeight="1">
      <c r="A72" s="428"/>
      <c r="B72" s="317" t="s">
        <v>171</v>
      </c>
      <c r="C72" s="45" t="s">
        <v>10</v>
      </c>
      <c r="D72" s="50"/>
      <c r="E72" s="36"/>
      <c r="F72" s="38"/>
      <c r="G72" s="36"/>
      <c r="H72" s="36"/>
      <c r="I72" s="36"/>
      <c r="J72" s="36"/>
      <c r="K72" s="36"/>
      <c r="L72" s="36"/>
      <c r="M72" s="36">
        <f>M71/M73</f>
        <v>5.2141760651629072</v>
      </c>
      <c r="N72" s="36"/>
      <c r="O72" s="351"/>
      <c r="P72" s="364">
        <v>1.075</v>
      </c>
      <c r="Q72" s="351"/>
      <c r="R72" s="351">
        <v>5.49</v>
      </c>
      <c r="S72" s="351">
        <v>5.53</v>
      </c>
      <c r="T72" s="351"/>
      <c r="U72" s="351"/>
      <c r="V72" s="351"/>
      <c r="W72" s="364">
        <v>1.07</v>
      </c>
      <c r="X72" s="351"/>
      <c r="Y72" s="351"/>
      <c r="Z72" s="351">
        <f>4.921*1.18</f>
        <v>5.8067799999999998</v>
      </c>
      <c r="AA72" s="364">
        <v>1.0509999999999999</v>
      </c>
      <c r="AB72" s="351">
        <f>Z72*AA72</f>
        <v>6.1029257799999996</v>
      </c>
      <c r="AC72" s="321">
        <v>5.91</v>
      </c>
      <c r="AD72" s="351"/>
      <c r="AE72" s="351">
        <f>X72</f>
        <v>0</v>
      </c>
      <c r="AF72" s="364">
        <v>1.0620000000000001</v>
      </c>
      <c r="AG72" s="367">
        <f>AE72*AF72</f>
        <v>0</v>
      </c>
      <c r="AH72" s="321">
        <v>6.19</v>
      </c>
      <c r="AI72" s="351"/>
      <c r="AJ72" s="351">
        <f>5.373285*1.18</f>
        <v>6.3404762999999997</v>
      </c>
      <c r="AK72" s="367">
        <f>AJ72*AI26+AJ72</f>
        <v>6.6384786861</v>
      </c>
      <c r="AL72" s="472"/>
      <c r="AM72" s="320"/>
    </row>
    <row r="73" spans="1:39" s="396" customFormat="1" ht="15" customHeight="1">
      <c r="A73" s="428"/>
      <c r="B73" s="332" t="s">
        <v>76</v>
      </c>
      <c r="C73" s="45" t="s">
        <v>9</v>
      </c>
      <c r="D73" s="36"/>
      <c r="E73" s="36"/>
      <c r="F73" s="38"/>
      <c r="G73" s="36"/>
      <c r="H73" s="36"/>
      <c r="I73" s="36"/>
      <c r="J73" s="36"/>
      <c r="K73" s="37"/>
      <c r="L73" s="36"/>
      <c r="M73" s="36">
        <f>63.84</f>
        <v>63.84</v>
      </c>
      <c r="N73" s="36"/>
      <c r="O73" s="351"/>
      <c r="P73" s="351"/>
      <c r="Q73" s="351"/>
      <c r="R73" s="351">
        <v>66.459999999999994</v>
      </c>
      <c r="S73" s="351">
        <v>94.54</v>
      </c>
      <c r="T73" s="351"/>
      <c r="U73" s="351"/>
      <c r="V73" s="351"/>
      <c r="W73" s="351"/>
      <c r="X73" s="351"/>
      <c r="Y73" s="351">
        <f>Z73+AB73</f>
        <v>80.56</v>
      </c>
      <c r="Z73" s="351">
        <f>Z74*Z10</f>
        <v>40.28</v>
      </c>
      <c r="AA73" s="351"/>
      <c r="AB73" s="351">
        <f>AB74*AB10</f>
        <v>40.28</v>
      </c>
      <c r="AC73" s="321">
        <v>55</v>
      </c>
      <c r="AD73" s="351">
        <f>AE73+AG73</f>
        <v>0</v>
      </c>
      <c r="AE73" s="351">
        <f>X73</f>
        <v>0</v>
      </c>
      <c r="AF73" s="351"/>
      <c r="AG73" s="367">
        <f>AE73</f>
        <v>0</v>
      </c>
      <c r="AH73" s="321">
        <v>110</v>
      </c>
      <c r="AI73" s="351">
        <f>AJ73+AK73</f>
        <v>80.56</v>
      </c>
      <c r="AJ73" s="351">
        <f>AJ67*AJ12</f>
        <v>40.28</v>
      </c>
      <c r="AK73" s="351">
        <f>AK67*AK12</f>
        <v>40.28</v>
      </c>
      <c r="AL73" s="472"/>
      <c r="AM73" s="320"/>
    </row>
    <row r="74" spans="1:39" s="450" customFormat="1" ht="20.25" hidden="1" customHeight="1">
      <c r="A74" s="445"/>
      <c r="B74" s="332" t="s">
        <v>328</v>
      </c>
      <c r="C74" s="446"/>
      <c r="D74" s="447"/>
      <c r="E74" s="447"/>
      <c r="F74" s="39"/>
      <c r="G74" s="447"/>
      <c r="H74" s="447"/>
      <c r="I74" s="447"/>
      <c r="J74" s="447"/>
      <c r="K74" s="448"/>
      <c r="L74" s="447"/>
      <c r="M74" s="447"/>
      <c r="N74" s="36"/>
      <c r="O74" s="351"/>
      <c r="P74" s="351"/>
      <c r="Q74" s="351"/>
      <c r="R74" s="351"/>
      <c r="S74" s="351">
        <v>0.4</v>
      </c>
      <c r="T74" s="351"/>
      <c r="U74" s="351"/>
      <c r="V74" s="351"/>
      <c r="W74" s="351"/>
      <c r="X74" s="351"/>
      <c r="Y74" s="351"/>
      <c r="Z74" s="351">
        <v>0.4</v>
      </c>
      <c r="AA74" s="351"/>
      <c r="AB74" s="351">
        <v>0.4</v>
      </c>
      <c r="AC74" s="434">
        <v>0.47</v>
      </c>
      <c r="AD74" s="351">
        <f>AE74+AG74</f>
        <v>0</v>
      </c>
      <c r="AE74" s="351">
        <f>X74</f>
        <v>0</v>
      </c>
      <c r="AF74" s="351"/>
      <c r="AG74" s="367">
        <f>AE74</f>
        <v>0</v>
      </c>
      <c r="AH74" s="434">
        <v>0.47</v>
      </c>
      <c r="AI74" s="351"/>
      <c r="AJ74" s="351"/>
      <c r="AK74" s="449"/>
      <c r="AL74" s="480"/>
      <c r="AM74" s="481"/>
    </row>
    <row r="75" spans="1:39" s="413" customFormat="1" ht="31.5">
      <c r="A75" s="418" t="s">
        <v>21</v>
      </c>
      <c r="B75" s="411" t="s">
        <v>39</v>
      </c>
      <c r="C75" s="412" t="s">
        <v>4</v>
      </c>
      <c r="D75" s="168"/>
      <c r="E75" s="168"/>
      <c r="F75" s="168"/>
      <c r="G75" s="168"/>
      <c r="H75" s="168">
        <f>H77+H79</f>
        <v>52.629999999999995</v>
      </c>
      <c r="I75" s="168">
        <f>I77+I79</f>
        <v>25.28</v>
      </c>
      <c r="J75" s="168">
        <f>J77+J79</f>
        <v>27.345000000000002</v>
      </c>
      <c r="K75" s="168"/>
      <c r="L75" s="168">
        <f>L77+L79</f>
        <v>51.244999999999997</v>
      </c>
      <c r="M75" s="168">
        <v>65.7</v>
      </c>
      <c r="N75" s="168">
        <f>O75+Q75</f>
        <v>51.244999999999997</v>
      </c>
      <c r="O75" s="419">
        <f>O77</f>
        <v>25.622499999999999</v>
      </c>
      <c r="P75" s="419"/>
      <c r="Q75" s="419">
        <f>Q77</f>
        <v>25.622499999999999</v>
      </c>
      <c r="R75" s="419">
        <f>R77+R79</f>
        <v>43.37</v>
      </c>
      <c r="S75" s="419">
        <v>58</v>
      </c>
      <c r="T75" s="493">
        <f>S75-N75</f>
        <v>6.7550000000000026</v>
      </c>
      <c r="U75" s="419">
        <f>V75+X75</f>
        <v>53.346508</v>
      </c>
      <c r="V75" s="419">
        <f>V77+V78</f>
        <v>25.622499999999999</v>
      </c>
      <c r="W75" s="419"/>
      <c r="X75" s="419">
        <f>X77+X78</f>
        <v>27.724008000000005</v>
      </c>
      <c r="Y75" s="419">
        <f>Z75+AB75</f>
        <v>66.786648154999995</v>
      </c>
      <c r="Z75" s="419">
        <f>Z77+Z79</f>
        <v>32.924815000000002</v>
      </c>
      <c r="AA75" s="419"/>
      <c r="AB75" s="419">
        <f>AB77+AB79</f>
        <v>33.861833154999999</v>
      </c>
      <c r="AC75" s="420">
        <v>29.34</v>
      </c>
      <c r="AD75" s="419">
        <f>AE75+AG75</f>
        <v>56.834216400000003</v>
      </c>
      <c r="AE75" s="419">
        <f>AE77+AE78</f>
        <v>27.724008000000005</v>
      </c>
      <c r="AF75" s="419"/>
      <c r="AG75" s="419">
        <f>AG77+AG78</f>
        <v>29.110208400000001</v>
      </c>
      <c r="AH75" s="421">
        <v>58.68</v>
      </c>
      <c r="AI75" s="419">
        <f>AI77+AI78+AI79</f>
        <v>53.169599999999988</v>
      </c>
      <c r="AJ75" s="419">
        <f>AJ77+AJ78+AJ79</f>
        <v>26.262559999999993</v>
      </c>
      <c r="AK75" s="419">
        <f>AK77+AK78+AK79</f>
        <v>26.907039999999999</v>
      </c>
      <c r="AL75" s="472">
        <f>AI75-Y75</f>
        <v>-13.617048155000006</v>
      </c>
      <c r="AM75" s="472">
        <f>AI75-AD75</f>
        <v>-3.6646164000000141</v>
      </c>
    </row>
    <row r="76" spans="1:39" s="396" customFormat="1" ht="15" hidden="1" customHeight="1">
      <c r="A76" s="428" t="s">
        <v>139</v>
      </c>
      <c r="B76" s="321" t="s">
        <v>88</v>
      </c>
      <c r="C76" s="45" t="s">
        <v>4</v>
      </c>
      <c r="D76" s="47"/>
      <c r="E76" s="36"/>
      <c r="F76" s="67"/>
      <c r="G76" s="9"/>
      <c r="H76" s="9"/>
      <c r="I76" s="9"/>
      <c r="J76" s="9"/>
      <c r="K76" s="9"/>
      <c r="L76" s="9"/>
      <c r="M76" s="9"/>
      <c r="N76" s="9"/>
      <c r="O76" s="360"/>
      <c r="P76" s="360"/>
      <c r="Q76" s="360"/>
      <c r="R76" s="360"/>
      <c r="S76" s="360"/>
      <c r="T76" s="360"/>
      <c r="U76" s="360"/>
      <c r="V76" s="360" t="e">
        <f>(V18*107+(V17+#REF!+#REF!)*414*1.15*1.15)/1000</f>
        <v>#REF!</v>
      </c>
      <c r="W76" s="360"/>
      <c r="X76" s="360" t="e">
        <f>V76</f>
        <v>#REF!</v>
      </c>
      <c r="Y76" s="360"/>
      <c r="Z76" s="360" t="e">
        <v>#REF!</v>
      </c>
      <c r="AA76" s="360"/>
      <c r="AB76" s="360" t="e">
        <v>#REF!</v>
      </c>
      <c r="AC76" s="321"/>
      <c r="AD76" s="360"/>
      <c r="AE76" s="360" t="e">
        <f>(AE18*122+(AE17+#REF!+#REF!)*414*1.15*1.15*1.15)/1000</f>
        <v>#REF!</v>
      </c>
      <c r="AF76" s="360"/>
      <c r="AG76" s="360" t="e">
        <f>AE76</f>
        <v>#REF!</v>
      </c>
      <c r="AH76" s="321"/>
      <c r="AI76" s="360"/>
      <c r="AJ76" s="360"/>
      <c r="AK76" s="360"/>
      <c r="AL76" s="472"/>
      <c r="AM76" s="320"/>
    </row>
    <row r="77" spans="1:39" s="396" customFormat="1" ht="15.75">
      <c r="A77" s="428" t="s">
        <v>68</v>
      </c>
      <c r="B77" s="321" t="s">
        <v>330</v>
      </c>
      <c r="C77" s="280">
        <v>0.01</v>
      </c>
      <c r="D77" s="45"/>
      <c r="E77" s="50"/>
      <c r="F77" s="67"/>
      <c r="G77" s="9"/>
      <c r="H77" s="9">
        <v>51.244999999999997</v>
      </c>
      <c r="I77" s="9">
        <v>24.59</v>
      </c>
      <c r="J77" s="9">
        <v>26.655000000000001</v>
      </c>
      <c r="K77" s="9"/>
      <c r="L77" s="9">
        <f>H77</f>
        <v>51.244999999999997</v>
      </c>
      <c r="M77" s="9">
        <v>65.7</v>
      </c>
      <c r="N77" s="360">
        <f>O77+Q77</f>
        <v>51.244999999999997</v>
      </c>
      <c r="O77" s="360">
        <f>L77/2</f>
        <v>25.622499999999999</v>
      </c>
      <c r="P77" s="360"/>
      <c r="Q77" s="360">
        <f>O77</f>
        <v>25.622499999999999</v>
      </c>
      <c r="R77" s="360">
        <v>43.37</v>
      </c>
      <c r="S77" s="360">
        <v>58</v>
      </c>
      <c r="T77" s="360"/>
      <c r="U77" s="360"/>
      <c r="V77" s="360">
        <f>Q77</f>
        <v>25.622499999999999</v>
      </c>
      <c r="W77" s="360"/>
      <c r="X77" s="360">
        <f>V95*1.04*X12*0.01</f>
        <v>27.724008000000005</v>
      </c>
      <c r="Y77" s="360">
        <f>Z77+AB77</f>
        <v>51.586648155000006</v>
      </c>
      <c r="Z77" s="360">
        <f>0.01*O95*Z12</f>
        <v>25.324815000000001</v>
      </c>
      <c r="AA77" s="360"/>
      <c r="AB77" s="360">
        <f>0.01*O95*1.037*AB12</f>
        <v>26.261833155000001</v>
      </c>
      <c r="AC77" s="321">
        <v>29.34</v>
      </c>
      <c r="AD77" s="360">
        <f>AE77+AG77</f>
        <v>56.834216400000003</v>
      </c>
      <c r="AE77" s="360">
        <f>X77</f>
        <v>27.724008000000005</v>
      </c>
      <c r="AF77" s="360"/>
      <c r="AG77" s="374">
        <f>AE95*1.04*AG12*0.01</f>
        <v>29.110208400000001</v>
      </c>
      <c r="AH77" s="321">
        <v>58.68</v>
      </c>
      <c r="AI77" s="360">
        <f>AJ77+AK77</f>
        <v>53.169599999999988</v>
      </c>
      <c r="AJ77" s="360">
        <f>26.08*AJ12*0.01</f>
        <v>26.262559999999993</v>
      </c>
      <c r="AK77" s="374">
        <f>26.72*AK12*0.01</f>
        <v>26.907039999999999</v>
      </c>
      <c r="AL77" s="472"/>
      <c r="AM77" s="320"/>
    </row>
    <row r="78" spans="1:39" s="396" customFormat="1" ht="15" hidden="1" customHeight="1">
      <c r="A78" s="428" t="s">
        <v>69</v>
      </c>
      <c r="B78" s="321" t="s">
        <v>83</v>
      </c>
      <c r="C78" s="45" t="s">
        <v>4</v>
      </c>
      <c r="D78" s="45"/>
      <c r="E78" s="45"/>
      <c r="F78" s="67"/>
      <c r="G78" s="9"/>
      <c r="H78" s="9"/>
      <c r="I78" s="9"/>
      <c r="J78" s="9"/>
      <c r="K78" s="9"/>
      <c r="L78" s="9"/>
      <c r="M78" s="9"/>
      <c r="N78" s="9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21"/>
      <c r="AD78" s="360"/>
      <c r="AE78" s="360"/>
      <c r="AF78" s="360"/>
      <c r="AG78" s="360"/>
      <c r="AH78" s="360"/>
      <c r="AI78" s="360"/>
      <c r="AJ78" s="360">
        <f>AI78/2</f>
        <v>0</v>
      </c>
      <c r="AK78" s="360">
        <f>AI78-AJ78</f>
        <v>0</v>
      </c>
      <c r="AL78" s="472"/>
      <c r="AM78" s="320"/>
    </row>
    <row r="79" spans="1:39" s="396" customFormat="1" ht="15.75">
      <c r="A79" s="428" t="s">
        <v>138</v>
      </c>
      <c r="B79" s="321" t="s">
        <v>287</v>
      </c>
      <c r="C79" s="45" t="s">
        <v>4</v>
      </c>
      <c r="D79" s="45"/>
      <c r="E79" s="45"/>
      <c r="F79" s="67"/>
      <c r="G79" s="9"/>
      <c r="H79" s="9">
        <v>1.385</v>
      </c>
      <c r="I79" s="9">
        <v>0.69</v>
      </c>
      <c r="J79" s="9">
        <v>0.69</v>
      </c>
      <c r="K79" s="9"/>
      <c r="L79" s="9"/>
      <c r="M79" s="9">
        <v>0</v>
      </c>
      <c r="N79" s="9"/>
      <c r="O79" s="360"/>
      <c r="P79" s="360"/>
      <c r="Q79" s="360"/>
      <c r="R79" s="360">
        <v>0</v>
      </c>
      <c r="S79" s="360"/>
      <c r="T79" s="360"/>
      <c r="U79" s="360"/>
      <c r="V79" s="360"/>
      <c r="W79" s="360"/>
      <c r="X79" s="360"/>
      <c r="Y79" s="360">
        <f>Z79+AB79</f>
        <v>15.2</v>
      </c>
      <c r="Z79" s="360">
        <v>7.6</v>
      </c>
      <c r="AA79" s="360"/>
      <c r="AB79" s="360">
        <v>7.6</v>
      </c>
      <c r="AC79" s="321"/>
      <c r="AD79" s="360"/>
      <c r="AE79" s="360"/>
      <c r="AF79" s="360"/>
      <c r="AG79" s="360"/>
      <c r="AH79" s="360"/>
      <c r="AI79" s="360"/>
      <c r="AJ79" s="494">
        <f>AI79/2</f>
        <v>0</v>
      </c>
      <c r="AK79" s="494">
        <f>AI79-AJ79</f>
        <v>0</v>
      </c>
      <c r="AL79" s="472"/>
      <c r="AM79" s="320"/>
    </row>
    <row r="80" spans="1:39" s="396" customFormat="1" ht="15" hidden="1" customHeight="1">
      <c r="A80" s="428" t="s">
        <v>180</v>
      </c>
      <c r="B80" s="321" t="s">
        <v>57</v>
      </c>
      <c r="C80" s="14"/>
      <c r="D80" s="45"/>
      <c r="E80" s="45"/>
      <c r="F80" s="38"/>
      <c r="G80" s="9"/>
      <c r="H80" s="9"/>
      <c r="I80" s="9"/>
      <c r="J80" s="9"/>
      <c r="K80" s="9"/>
      <c r="L80" s="9"/>
      <c r="M80" s="9"/>
      <c r="N80" s="9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21"/>
      <c r="AD80" s="360"/>
      <c r="AE80" s="360"/>
      <c r="AF80" s="360"/>
      <c r="AG80" s="360"/>
      <c r="AH80" s="360"/>
      <c r="AI80" s="360"/>
      <c r="AJ80" s="360"/>
      <c r="AK80" s="360"/>
      <c r="AL80" s="472"/>
      <c r="AM80" s="320"/>
    </row>
    <row r="81" spans="1:39" s="396" customFormat="1" ht="15" hidden="1" customHeight="1">
      <c r="A81" s="428"/>
      <c r="B81" s="330" t="s">
        <v>8</v>
      </c>
      <c r="C81" s="14" t="s">
        <v>26</v>
      </c>
      <c r="D81" s="45"/>
      <c r="E81" s="45"/>
      <c r="F81" s="38"/>
      <c r="G81" s="9"/>
      <c r="H81" s="9"/>
      <c r="I81" s="9"/>
      <c r="J81" s="9"/>
      <c r="K81" s="9"/>
      <c r="L81" s="9"/>
      <c r="M81" s="9"/>
      <c r="N81" s="9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21"/>
      <c r="AD81" s="360"/>
      <c r="AE81" s="360"/>
      <c r="AF81" s="360"/>
      <c r="AG81" s="360"/>
      <c r="AH81" s="360"/>
      <c r="AI81" s="360"/>
      <c r="AJ81" s="360"/>
      <c r="AK81" s="360"/>
      <c r="AL81" s="472"/>
      <c r="AM81" s="320"/>
    </row>
    <row r="82" spans="1:39" s="396" customFormat="1" ht="15" hidden="1" customHeight="1">
      <c r="A82" s="428"/>
      <c r="B82" s="330" t="s">
        <v>58</v>
      </c>
      <c r="C82" s="14" t="s">
        <v>11</v>
      </c>
      <c r="D82" s="45"/>
      <c r="E82" s="45"/>
      <c r="F82" s="38"/>
      <c r="G82" s="9"/>
      <c r="H82" s="9"/>
      <c r="I82" s="9"/>
      <c r="J82" s="9"/>
      <c r="K82" s="9"/>
      <c r="L82" s="9"/>
      <c r="M82" s="9"/>
      <c r="N82" s="9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21"/>
      <c r="AD82" s="360"/>
      <c r="AE82" s="360"/>
      <c r="AF82" s="360"/>
      <c r="AG82" s="360"/>
      <c r="AH82" s="360"/>
      <c r="AI82" s="360"/>
      <c r="AJ82" s="360"/>
      <c r="AK82" s="360"/>
      <c r="AL82" s="472"/>
      <c r="AM82" s="320"/>
    </row>
    <row r="83" spans="1:39" s="391" customFormat="1" ht="21" customHeight="1">
      <c r="A83" s="522" t="s">
        <v>22</v>
      </c>
      <c r="B83" s="522"/>
      <c r="C83" s="297" t="s">
        <v>4</v>
      </c>
      <c r="D83" s="15"/>
      <c r="E83" s="15"/>
      <c r="F83" s="168"/>
      <c r="G83" s="15"/>
      <c r="H83" s="15">
        <v>0</v>
      </c>
      <c r="I83" s="15">
        <v>0</v>
      </c>
      <c r="J83" s="15">
        <v>0</v>
      </c>
      <c r="K83" s="15"/>
      <c r="L83" s="15">
        <v>0</v>
      </c>
      <c r="M83" s="15">
        <v>0</v>
      </c>
      <c r="N83" s="457">
        <v>0</v>
      </c>
      <c r="O83" s="380">
        <v>0</v>
      </c>
      <c r="P83" s="380"/>
      <c r="Q83" s="380">
        <v>0</v>
      </c>
      <c r="R83" s="380">
        <v>0</v>
      </c>
      <c r="S83" s="380"/>
      <c r="T83" s="380"/>
      <c r="U83" s="380">
        <f>V83+X83</f>
        <v>0</v>
      </c>
      <c r="V83" s="380">
        <f>Q83</f>
        <v>0</v>
      </c>
      <c r="W83" s="380"/>
      <c r="X83" s="380">
        <f>V83</f>
        <v>0</v>
      </c>
      <c r="Y83" s="380">
        <v>0</v>
      </c>
      <c r="Z83" s="380">
        <v>0</v>
      </c>
      <c r="AA83" s="380"/>
      <c r="AB83" s="380">
        <v>0</v>
      </c>
      <c r="AC83" s="321"/>
      <c r="AD83" s="362">
        <f>AE83+AG83</f>
        <v>0</v>
      </c>
      <c r="AE83" s="362">
        <f>X83</f>
        <v>0</v>
      </c>
      <c r="AF83" s="362"/>
      <c r="AG83" s="362">
        <f>AE83</f>
        <v>0</v>
      </c>
      <c r="AH83" s="362"/>
      <c r="AI83" s="380">
        <v>0</v>
      </c>
      <c r="AJ83" s="380">
        <f>AI83/2</f>
        <v>0</v>
      </c>
      <c r="AK83" s="380">
        <f>AI83-AJ83</f>
        <v>0</v>
      </c>
      <c r="AL83" s="483">
        <f>AI83-Y83</f>
        <v>0</v>
      </c>
      <c r="AM83" s="472"/>
    </row>
    <row r="84" spans="1:39" s="389" customFormat="1" ht="15.75">
      <c r="A84" s="522" t="s">
        <v>23</v>
      </c>
      <c r="B84" s="522"/>
      <c r="C84" s="297" t="s">
        <v>4</v>
      </c>
      <c r="D84" s="15"/>
      <c r="E84" s="15"/>
      <c r="F84" s="168"/>
      <c r="G84" s="15"/>
      <c r="H84" s="15">
        <v>0</v>
      </c>
      <c r="I84" s="15">
        <v>0</v>
      </c>
      <c r="J84" s="15">
        <v>0</v>
      </c>
      <c r="K84" s="15"/>
      <c r="L84" s="15">
        <v>0</v>
      </c>
      <c r="M84" s="15">
        <v>0</v>
      </c>
      <c r="N84" s="457">
        <v>0</v>
      </c>
      <c r="O84" s="380">
        <v>0</v>
      </c>
      <c r="P84" s="380"/>
      <c r="Q84" s="380">
        <v>0</v>
      </c>
      <c r="R84" s="380">
        <v>0</v>
      </c>
      <c r="S84" s="380"/>
      <c r="T84" s="380"/>
      <c r="U84" s="380">
        <v>0</v>
      </c>
      <c r="V84" s="380">
        <v>0</v>
      </c>
      <c r="W84" s="380"/>
      <c r="X84" s="380">
        <v>0</v>
      </c>
      <c r="Y84" s="380">
        <v>0</v>
      </c>
      <c r="Z84" s="380">
        <v>0</v>
      </c>
      <c r="AA84" s="380"/>
      <c r="AB84" s="380">
        <v>0</v>
      </c>
      <c r="AC84" s="388"/>
      <c r="AD84" s="362">
        <v>0</v>
      </c>
      <c r="AE84" s="362">
        <v>0</v>
      </c>
      <c r="AF84" s="362"/>
      <c r="AG84" s="362">
        <v>0</v>
      </c>
      <c r="AH84" s="362"/>
      <c r="AI84" s="380">
        <v>0</v>
      </c>
      <c r="AJ84" s="380">
        <f>AI84/2</f>
        <v>0</v>
      </c>
      <c r="AK84" s="380">
        <f>AI84-AJ84</f>
        <v>0</v>
      </c>
      <c r="AL84" s="472"/>
      <c r="AM84" s="473"/>
    </row>
    <row r="85" spans="1:39" s="398" customFormat="1" ht="15" hidden="1" customHeight="1">
      <c r="A85" s="431"/>
      <c r="B85" s="331" t="s">
        <v>30</v>
      </c>
      <c r="C85" s="295" t="s">
        <v>31</v>
      </c>
      <c r="D85" s="6"/>
      <c r="E85" s="6"/>
      <c r="F85" s="38"/>
      <c r="G85" s="8"/>
      <c r="H85" s="8"/>
      <c r="I85" s="8"/>
      <c r="J85" s="8"/>
      <c r="K85" s="8"/>
      <c r="L85" s="8"/>
      <c r="M85" s="8"/>
      <c r="N85" s="8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21"/>
      <c r="AD85" s="345"/>
      <c r="AE85" s="345"/>
      <c r="AF85" s="345"/>
      <c r="AG85" s="345"/>
      <c r="AH85" s="345"/>
      <c r="AI85" s="345"/>
      <c r="AJ85" s="345"/>
      <c r="AK85" s="345"/>
      <c r="AL85" s="472"/>
      <c r="AM85" s="482"/>
    </row>
    <row r="86" spans="1:39" s="398" customFormat="1" ht="15" hidden="1" customHeight="1">
      <c r="A86" s="431"/>
      <c r="B86" s="331" t="s">
        <v>34</v>
      </c>
      <c r="C86" s="295" t="s">
        <v>31</v>
      </c>
      <c r="D86" s="6"/>
      <c r="E86" s="6"/>
      <c r="F86" s="38"/>
      <c r="G86" s="8"/>
      <c r="H86" s="8"/>
      <c r="I86" s="8"/>
      <c r="J86" s="8"/>
      <c r="K86" s="8"/>
      <c r="L86" s="8"/>
      <c r="M86" s="8"/>
      <c r="N86" s="8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21"/>
      <c r="AD86" s="345"/>
      <c r="AE86" s="345"/>
      <c r="AF86" s="345"/>
      <c r="AG86" s="345"/>
      <c r="AH86" s="345"/>
      <c r="AI86" s="345"/>
      <c r="AJ86" s="345"/>
      <c r="AK86" s="345"/>
      <c r="AL86" s="472"/>
      <c r="AM86" s="482"/>
    </row>
    <row r="87" spans="1:39" s="398" customFormat="1" ht="15" hidden="1" customHeight="1">
      <c r="A87" s="431"/>
      <c r="B87" s="331" t="s">
        <v>35</v>
      </c>
      <c r="C87" s="295" t="s">
        <v>31</v>
      </c>
      <c r="D87" s="6"/>
      <c r="E87" s="6"/>
      <c r="F87" s="38"/>
      <c r="G87" s="8"/>
      <c r="H87" s="8"/>
      <c r="I87" s="8"/>
      <c r="J87" s="8"/>
      <c r="K87" s="8"/>
      <c r="L87" s="8"/>
      <c r="M87" s="8"/>
      <c r="N87" s="8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21"/>
      <c r="AD87" s="345"/>
      <c r="AE87" s="345"/>
      <c r="AF87" s="345"/>
      <c r="AG87" s="345"/>
      <c r="AH87" s="345"/>
      <c r="AI87" s="345"/>
      <c r="AJ87" s="345"/>
      <c r="AK87" s="345"/>
      <c r="AL87" s="472"/>
      <c r="AM87" s="482"/>
    </row>
    <row r="88" spans="1:39" s="398" customFormat="1" ht="15" hidden="1" customHeight="1">
      <c r="A88" s="431"/>
      <c r="B88" s="317" t="s">
        <v>36</v>
      </c>
      <c r="C88" s="280">
        <v>0.03</v>
      </c>
      <c r="D88" s="280"/>
      <c r="E88" s="280"/>
      <c r="F88" s="38"/>
      <c r="G88" s="8"/>
      <c r="H88" s="8"/>
      <c r="I88" s="8"/>
      <c r="J88" s="8"/>
      <c r="K88" s="8"/>
      <c r="L88" s="8"/>
      <c r="M88" s="8"/>
      <c r="N88" s="36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21"/>
      <c r="AD88" s="351"/>
      <c r="AE88" s="351"/>
      <c r="AF88" s="351"/>
      <c r="AG88" s="351"/>
      <c r="AH88" s="351"/>
      <c r="AI88" s="351"/>
      <c r="AJ88" s="351"/>
      <c r="AK88" s="351"/>
      <c r="AL88" s="472"/>
      <c r="AM88" s="482"/>
    </row>
    <row r="89" spans="1:39" s="398" customFormat="1" ht="15" hidden="1" customHeight="1">
      <c r="A89" s="431"/>
      <c r="B89" s="317" t="s">
        <v>127</v>
      </c>
      <c r="C89" s="280">
        <v>0.2</v>
      </c>
      <c r="D89" s="280"/>
      <c r="E89" s="280"/>
      <c r="F89" s="38"/>
      <c r="G89" s="8"/>
      <c r="H89" s="8"/>
      <c r="I89" s="8"/>
      <c r="J89" s="8"/>
      <c r="K89" s="8"/>
      <c r="L89" s="8"/>
      <c r="M89" s="8"/>
      <c r="N89" s="36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21"/>
      <c r="AD89" s="351"/>
      <c r="AE89" s="351"/>
      <c r="AF89" s="351"/>
      <c r="AG89" s="351"/>
      <c r="AH89" s="351"/>
      <c r="AI89" s="351"/>
      <c r="AJ89" s="351"/>
      <c r="AK89" s="351"/>
      <c r="AL89" s="472"/>
      <c r="AM89" s="482"/>
    </row>
    <row r="90" spans="1:39" s="391" customFormat="1" ht="15.75">
      <c r="A90" s="422"/>
      <c r="B90" s="458" t="s">
        <v>27</v>
      </c>
      <c r="C90" s="459" t="s">
        <v>4</v>
      </c>
      <c r="D90" s="460"/>
      <c r="E90" s="460"/>
      <c r="F90" s="443"/>
      <c r="G90" s="460"/>
      <c r="H90" s="460">
        <f>H21+H83+H84</f>
        <v>5124.9699999999993</v>
      </c>
      <c r="I90" s="460">
        <f>I21+I83+I84</f>
        <v>2459.2000000000003</v>
      </c>
      <c r="J90" s="460">
        <f>J21+J83+J84</f>
        <v>2665.77</v>
      </c>
      <c r="K90" s="460"/>
      <c r="L90" s="460">
        <f>L21+L83+L84</f>
        <v>5885.2057062600015</v>
      </c>
      <c r="M90" s="460">
        <f>M75+M64+M23</f>
        <v>3248.7000000000003</v>
      </c>
      <c r="N90" s="461">
        <f>O90+Q90</f>
        <v>5213.7433222434638</v>
      </c>
      <c r="O90" s="461">
        <f>O21+O83+O84</f>
        <v>2546.4251798687346</v>
      </c>
      <c r="P90" s="461"/>
      <c r="Q90" s="461">
        <f>Q21+Q83+Q84</f>
        <v>2667.3181423747292</v>
      </c>
      <c r="R90" s="461">
        <f>R75+R64+R23</f>
        <v>3547.2499999999995</v>
      </c>
      <c r="S90" s="461">
        <f>S83+S21</f>
        <v>4940</v>
      </c>
      <c r="T90" s="493">
        <f>S90-N90</f>
        <v>-273.74332224346381</v>
      </c>
      <c r="U90" s="461">
        <f>U21+U83+U84</f>
        <v>5472.7562344073976</v>
      </c>
      <c r="V90" s="461">
        <f>V21+V83+V84</f>
        <v>2667.3181423747292</v>
      </c>
      <c r="W90" s="461"/>
      <c r="X90" s="461">
        <f>X21+X83+X84</f>
        <v>2805.4380920326685</v>
      </c>
      <c r="Y90" s="461">
        <f>Z90+AB90</f>
        <v>5364.3714471923249</v>
      </c>
      <c r="Z90" s="461">
        <f>Z84+Z83+Z75+Z64+Z23</f>
        <v>2640.6206176860287</v>
      </c>
      <c r="AA90" s="461"/>
      <c r="AB90" s="461">
        <f>AB84+AB83+AB75+AB64+AB23</f>
        <v>2723.7508295062958</v>
      </c>
      <c r="AC90" s="462"/>
      <c r="AD90" s="461">
        <f>AD21+AD83+AD84</f>
        <v>5728.4317095691122</v>
      </c>
      <c r="AE90" s="461">
        <f>AE21+AE83+AE84</f>
        <v>2805.4380920326685</v>
      </c>
      <c r="AF90" s="461"/>
      <c r="AG90" s="461">
        <f>AG21+AG83+AG84</f>
        <v>2922.9936175364437</v>
      </c>
      <c r="AH90" s="461"/>
      <c r="AI90" s="461">
        <f>AI84+AI83+AI75+AI64+AI23</f>
        <v>5560.8730992848414</v>
      </c>
      <c r="AJ90" s="461">
        <f>AJ84+AJ83+AJ75+AJ64+AJ23</f>
        <v>2725.7200912968956</v>
      </c>
      <c r="AK90" s="461">
        <f>AK84+AK83+AK75+AK64+AK23</f>
        <v>2835.1530079879462</v>
      </c>
      <c r="AL90" s="472">
        <f>AI90-Y90</f>
        <v>196.50165209251645</v>
      </c>
      <c r="AM90" s="472">
        <f>AI90-AD90</f>
        <v>-167.5586102842708</v>
      </c>
    </row>
    <row r="91" spans="1:39" s="391" customFormat="1" ht="28.5" hidden="1" customHeight="1">
      <c r="A91" s="428"/>
      <c r="B91" s="407" t="s">
        <v>293</v>
      </c>
      <c r="C91" s="45" t="s">
        <v>4</v>
      </c>
      <c r="D91" s="40"/>
      <c r="E91" s="40"/>
      <c r="F91" s="181"/>
      <c r="G91" s="40"/>
      <c r="H91" s="40"/>
      <c r="I91" s="40"/>
      <c r="J91" s="40"/>
      <c r="K91" s="40"/>
      <c r="L91" s="40"/>
      <c r="M91" s="40"/>
      <c r="N91" s="40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3"/>
      <c r="AD91" s="366"/>
      <c r="AE91" s="366"/>
      <c r="AF91" s="366"/>
      <c r="AG91" s="366"/>
      <c r="AH91" s="366"/>
      <c r="AI91" s="366"/>
      <c r="AJ91" s="366"/>
      <c r="AK91" s="366"/>
      <c r="AL91" s="472"/>
      <c r="AM91" s="475"/>
    </row>
    <row r="92" spans="1:39" s="391" customFormat="1" ht="17.25" customHeight="1">
      <c r="A92" s="428"/>
      <c r="B92" s="407" t="s">
        <v>357</v>
      </c>
      <c r="C92" s="45" t="s">
        <v>4</v>
      </c>
      <c r="D92" s="40"/>
      <c r="E92" s="40"/>
      <c r="F92" s="181"/>
      <c r="G92" s="40"/>
      <c r="H92" s="40"/>
      <c r="I92" s="40"/>
      <c r="J92" s="40"/>
      <c r="K92" s="40"/>
      <c r="L92" s="40"/>
      <c r="M92" s="40"/>
      <c r="N92" s="40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3"/>
      <c r="AD92" s="366"/>
      <c r="AE92" s="366"/>
      <c r="AF92" s="366"/>
      <c r="AG92" s="366"/>
      <c r="AH92" s="366"/>
      <c r="AI92" s="366">
        <f>AJ92+AK92</f>
        <v>-55.608730992848422</v>
      </c>
      <c r="AJ92" s="366">
        <f>-AJ90*0.01</f>
        <v>-27.257200912968955</v>
      </c>
      <c r="AK92" s="366">
        <f>-AK90*0.01</f>
        <v>-28.351530079879463</v>
      </c>
      <c r="AL92" s="472"/>
      <c r="AM92" s="475"/>
    </row>
    <row r="93" spans="1:39" s="391" customFormat="1" ht="15.75">
      <c r="A93" s="428"/>
      <c r="B93" s="333" t="s">
        <v>163</v>
      </c>
      <c r="C93" s="45" t="s">
        <v>4</v>
      </c>
      <c r="D93" s="45"/>
      <c r="E93" s="40"/>
      <c r="F93" s="38"/>
      <c r="G93" s="40"/>
      <c r="H93" s="40"/>
      <c r="I93" s="40"/>
      <c r="J93" s="40"/>
      <c r="K93" s="40"/>
      <c r="L93" s="40"/>
      <c r="M93" s="40"/>
      <c r="N93" s="40"/>
      <c r="O93" s="366">
        <f>O94-O90</f>
        <v>119.34482013126535</v>
      </c>
      <c r="P93" s="366"/>
      <c r="Q93" s="366">
        <f>Q94-Q90</f>
        <v>-1.5481423747291956</v>
      </c>
      <c r="R93" s="366"/>
      <c r="S93" s="366"/>
      <c r="T93" s="366"/>
      <c r="U93" s="366"/>
      <c r="V93" s="366">
        <f>V94-V90</f>
        <v>-1.5481423747291956</v>
      </c>
      <c r="W93" s="366"/>
      <c r="X93" s="366">
        <f>X94-X90</f>
        <v>-6.3795920326683699</v>
      </c>
      <c r="Y93" s="366"/>
      <c r="Z93" s="366">
        <f>25.15*Z12-Z90</f>
        <v>-108.01561768602915</v>
      </c>
      <c r="AA93" s="366"/>
      <c r="AB93" s="366">
        <f>25.15*1.037*AB12-AB90</f>
        <v>-97.439444506296695</v>
      </c>
      <c r="AC93" s="363"/>
      <c r="AD93" s="366"/>
      <c r="AE93" s="366">
        <f>AE94-AE90</f>
        <v>-6.3795920326683699</v>
      </c>
      <c r="AF93" s="366"/>
      <c r="AG93" s="366">
        <f>AG94-AG90</f>
        <v>15.856382463556201</v>
      </c>
      <c r="AH93" s="366"/>
      <c r="AI93" s="366">
        <f>AJ93+AK93</f>
        <v>-155.60000000000002</v>
      </c>
      <c r="AJ93" s="366">
        <v>-72.2</v>
      </c>
      <c r="AK93" s="366">
        <v>-83.4</v>
      </c>
      <c r="AL93" s="472"/>
      <c r="AM93" s="475"/>
    </row>
    <row r="94" spans="1:39" s="391" customFormat="1" ht="15.75">
      <c r="A94" s="422"/>
      <c r="B94" s="458" t="s">
        <v>164</v>
      </c>
      <c r="C94" s="459" t="s">
        <v>4</v>
      </c>
      <c r="D94" s="460"/>
      <c r="E94" s="460"/>
      <c r="F94" s="443"/>
      <c r="G94" s="460"/>
      <c r="H94" s="460">
        <f>H90</f>
        <v>5124.9699999999993</v>
      </c>
      <c r="I94" s="460">
        <f>I90</f>
        <v>2459.2000000000003</v>
      </c>
      <c r="J94" s="460">
        <f>J90</f>
        <v>2665.77</v>
      </c>
      <c r="K94" s="460"/>
      <c r="L94" s="460">
        <f t="shared" ref="L94" si="20">L90</f>
        <v>5885.2057062600015</v>
      </c>
      <c r="M94" s="460">
        <f>M90</f>
        <v>3248.7000000000003</v>
      </c>
      <c r="N94" s="461">
        <f>O94+Q94</f>
        <v>5331.54</v>
      </c>
      <c r="O94" s="461">
        <f>O95*O12</f>
        <v>2665.77</v>
      </c>
      <c r="P94" s="461"/>
      <c r="Q94" s="461">
        <f>Q95*Q12</f>
        <v>2665.77</v>
      </c>
      <c r="R94" s="461">
        <f>R90</f>
        <v>3547.2499999999995</v>
      </c>
      <c r="S94" s="461">
        <v>4940</v>
      </c>
      <c r="T94" s="461">
        <f>S94-N94</f>
        <v>-391.53999999999996</v>
      </c>
      <c r="U94" s="461">
        <f>V94+X94</f>
        <v>5464.8284999999996</v>
      </c>
      <c r="V94" s="461">
        <f>V95*V12</f>
        <v>2665.77</v>
      </c>
      <c r="W94" s="461"/>
      <c r="X94" s="461">
        <f>X95*X12</f>
        <v>2799.0585000000001</v>
      </c>
      <c r="Y94" s="461">
        <f>Z94+AB94</f>
        <v>5158.9163849999986</v>
      </c>
      <c r="Z94" s="461">
        <f>Z93+Z90</f>
        <v>2532.6049999999996</v>
      </c>
      <c r="AA94" s="461"/>
      <c r="AB94" s="461">
        <f>AB93+AB90</f>
        <v>2626.3113849999991</v>
      </c>
      <c r="AC94" s="463">
        <v>2781.24</v>
      </c>
      <c r="AD94" s="461">
        <f>AE94+AG94</f>
        <v>5737.9084999999995</v>
      </c>
      <c r="AE94" s="461">
        <f>AE95*AE12</f>
        <v>2799.0585000000001</v>
      </c>
      <c r="AF94" s="461"/>
      <c r="AG94" s="461">
        <v>2938.85</v>
      </c>
      <c r="AH94" s="461">
        <v>5593.06</v>
      </c>
      <c r="AI94" s="461">
        <f>AI90+AI93+AI92</f>
        <v>5349.664368291993</v>
      </c>
      <c r="AJ94" s="461">
        <f>AJ90+AJ93+AJ92</f>
        <v>2626.2628903839268</v>
      </c>
      <c r="AK94" s="461">
        <f>AK90+AK93+AK92</f>
        <v>2723.4014779080667</v>
      </c>
      <c r="AL94" s="472"/>
      <c r="AM94" s="475"/>
    </row>
    <row r="95" spans="1:39" ht="15.75">
      <c r="A95" s="418"/>
      <c r="B95" s="334" t="s">
        <v>137</v>
      </c>
      <c r="C95" s="295" t="s">
        <v>26</v>
      </c>
      <c r="D95" s="15"/>
      <c r="E95" s="15"/>
      <c r="F95" s="168"/>
      <c r="G95" s="15"/>
      <c r="H95" s="15">
        <f>H94/H12</f>
        <v>24.174386792452829</v>
      </c>
      <c r="I95" s="15">
        <f>I94/I12</f>
        <v>23.200000000000003</v>
      </c>
      <c r="J95" s="15">
        <f>J94/J12</f>
        <v>25.148773584905662</v>
      </c>
      <c r="K95" s="15"/>
      <c r="L95" s="15">
        <f>L94/L12</f>
        <v>27.760404274811329</v>
      </c>
      <c r="M95" s="15">
        <f>M94/M12</f>
        <v>18.800347222222225</v>
      </c>
      <c r="N95" s="362">
        <f>N94/N12</f>
        <v>25.148773584905662</v>
      </c>
      <c r="O95" s="362">
        <f>J95</f>
        <v>25.148773584905662</v>
      </c>
      <c r="P95" s="362"/>
      <c r="Q95" s="362">
        <f>J95</f>
        <v>25.148773584905662</v>
      </c>
      <c r="R95" s="362">
        <f>R94/R12</f>
        <v>20.572116221075216</v>
      </c>
      <c r="S95" s="362">
        <v>25.15</v>
      </c>
      <c r="T95" s="362"/>
      <c r="U95" s="362">
        <f>U94/U12</f>
        <v>25.7774929245283</v>
      </c>
      <c r="V95" s="362">
        <f>Q95</f>
        <v>25.148773584905662</v>
      </c>
      <c r="W95" s="362"/>
      <c r="X95" s="362">
        <f>V95*1.05</f>
        <v>26.406212264150945</v>
      </c>
      <c r="Y95" s="362">
        <f>Y94/Y12</f>
        <v>25.615274999999997</v>
      </c>
      <c r="Z95" s="362">
        <f>Z94/Z12</f>
        <v>25.15</v>
      </c>
      <c r="AA95" s="362"/>
      <c r="AB95" s="468">
        <f>AB94/AB12</f>
        <v>26.080549999999995</v>
      </c>
      <c r="AC95" s="321"/>
      <c r="AD95" s="362">
        <f>AD94/AD16</f>
        <v>204.92530357142854</v>
      </c>
      <c r="AE95" s="362">
        <f>X95</f>
        <v>26.406212264150945</v>
      </c>
      <c r="AF95" s="362"/>
      <c r="AG95" s="362">
        <f>AG94/AG12</f>
        <v>27.724999999999998</v>
      </c>
      <c r="AH95" s="362"/>
      <c r="AI95" s="362">
        <f>AI94/AI12</f>
        <v>26.562385145441876</v>
      </c>
      <c r="AJ95" s="362">
        <f>AJ94/AJ12</f>
        <v>26.080068424865214</v>
      </c>
      <c r="AK95" s="362">
        <f>AK94/AK12</f>
        <v>27.044701866018539</v>
      </c>
      <c r="AL95" s="472"/>
      <c r="AM95" s="471"/>
    </row>
    <row r="96" spans="1:39" ht="17.25" customHeight="1">
      <c r="A96" s="418"/>
      <c r="B96" s="331" t="s">
        <v>80</v>
      </c>
      <c r="C96" s="295" t="s">
        <v>7</v>
      </c>
      <c r="D96" s="6"/>
      <c r="E96" s="6"/>
      <c r="F96" s="320"/>
      <c r="G96" s="320"/>
      <c r="H96" s="320"/>
      <c r="I96" s="320"/>
      <c r="J96" s="320"/>
      <c r="K96" s="8"/>
      <c r="L96" s="151">
        <f>L95/J95</f>
        <v>1.1038472385577154</v>
      </c>
      <c r="M96" s="151"/>
      <c r="N96" s="312"/>
      <c r="O96" s="151">
        <f>O95/J95</f>
        <v>1</v>
      </c>
      <c r="P96" s="151"/>
      <c r="Q96" s="151">
        <f>Q95/O95</f>
        <v>1</v>
      </c>
      <c r="R96" s="151"/>
      <c r="S96" s="151"/>
      <c r="T96" s="151"/>
      <c r="U96" s="15"/>
      <c r="V96" s="151">
        <f>V95/Q95</f>
        <v>1</v>
      </c>
      <c r="W96" s="151"/>
      <c r="X96" s="151">
        <f>X95/Q95</f>
        <v>1.05</v>
      </c>
      <c r="Y96" s="15"/>
      <c r="Z96" s="151">
        <v>1</v>
      </c>
      <c r="AA96" s="151"/>
      <c r="AB96" s="151">
        <f>AB95/Z95</f>
        <v>1.0369999999999999</v>
      </c>
      <c r="AC96" s="320"/>
      <c r="AD96" s="312"/>
      <c r="AE96" s="151">
        <f>AE95/X95</f>
        <v>1</v>
      </c>
      <c r="AF96" s="151"/>
      <c r="AG96" s="151">
        <f>AG95/X95</f>
        <v>1.0499423288223522</v>
      </c>
      <c r="AH96" s="151"/>
      <c r="AI96" s="312"/>
      <c r="AJ96" s="151">
        <f>AJ95/AB95</f>
        <v>0.99998153508515808</v>
      </c>
      <c r="AK96" s="151">
        <f>AK95/AB95</f>
        <v>1.0369682336460904</v>
      </c>
      <c r="AL96" s="472"/>
      <c r="AM96" s="471"/>
    </row>
    <row r="97" spans="15:38" s="2" customFormat="1" ht="12.75">
      <c r="AJ97" s="520">
        <f>AB95-AJ95</f>
        <v>4.8157513478130909E-4</v>
      </c>
      <c r="AK97" s="520">
        <f>AJ95*1.037</f>
        <v>27.045030956585226</v>
      </c>
      <c r="AL97" s="520"/>
    </row>
    <row r="98" spans="15:38" s="2" customFormat="1" ht="15" hidden="1" customHeight="1">
      <c r="AJ98" s="520"/>
      <c r="AK98" s="520"/>
      <c r="AL98" s="520"/>
    </row>
    <row r="99" spans="15:38" s="2" customFormat="1" ht="15" hidden="1" customHeight="1">
      <c r="O99" s="2">
        <f>(J94-O95)*O16</f>
        <v>36968.697169811319</v>
      </c>
      <c r="AJ99" s="520"/>
      <c r="AK99" s="520"/>
      <c r="AL99" s="520"/>
    </row>
    <row r="100" spans="15:38" s="2" customFormat="1" ht="12.75">
      <c r="AJ100" s="520">
        <f>AJ97*AJ12</f>
        <v>4.849461607247782E-2</v>
      </c>
      <c r="AK100" s="520">
        <f>AK97-AK95</f>
        <v>3.2909056668728454E-4</v>
      </c>
      <c r="AL100" s="520"/>
    </row>
    <row r="101" spans="15:38" s="2" customFormat="1" ht="12.75">
      <c r="AJ101" s="520"/>
      <c r="AK101" s="520">
        <f>AK100*AK12</f>
        <v>3.3139420065409549E-2</v>
      </c>
      <c r="AL101" s="520"/>
    </row>
    <row r="102" spans="15:38" s="2" customFormat="1" ht="12.75"/>
    <row r="103" spans="15:38" s="2" customFormat="1" ht="12.75"/>
    <row r="104" spans="15:38" s="2" customFormat="1" ht="12.75"/>
    <row r="105" spans="15:38" s="2" customFormat="1" ht="12.75"/>
    <row r="106" spans="15:38" s="2" customFormat="1" ht="15" hidden="1" customHeight="1">
      <c r="V106" s="2">
        <v>1.1499999999999999</v>
      </c>
      <c r="W106" s="2">
        <v>1.32</v>
      </c>
      <c r="X106" s="2">
        <v>1.52</v>
      </c>
      <c r="Z106" s="2">
        <v>1.1499999999999999</v>
      </c>
      <c r="AA106" s="2">
        <v>1.32</v>
      </c>
      <c r="AB106" s="2">
        <v>1.52</v>
      </c>
    </row>
    <row r="107" spans="15:38" s="2" customFormat="1" ht="15" hidden="1" customHeight="1">
      <c r="U107" s="2">
        <v>360</v>
      </c>
      <c r="V107" s="2">
        <f>$U$107*V106</f>
        <v>413.99999999999994</v>
      </c>
      <c r="W107" s="2">
        <f t="shared" ref="W107:X107" si="21">$U$107*W106</f>
        <v>475.20000000000005</v>
      </c>
      <c r="X107" s="2">
        <f t="shared" si="21"/>
        <v>547.20000000000005</v>
      </c>
      <c r="Y107" s="2">
        <v>360</v>
      </c>
      <c r="Z107" s="2">
        <f>$U$107*Z106</f>
        <v>413.99999999999994</v>
      </c>
      <c r="AA107" s="2">
        <f t="shared" ref="AA107:AB107" si="22">$U$107*AA106</f>
        <v>475.20000000000005</v>
      </c>
      <c r="AB107" s="2">
        <f t="shared" si="22"/>
        <v>547.20000000000005</v>
      </c>
    </row>
    <row r="108" spans="15:38" s="2" customFormat="1" ht="15" hidden="1" customHeight="1">
      <c r="V108" s="2">
        <f>V107/U107</f>
        <v>1.1499999999999999</v>
      </c>
      <c r="W108" s="2">
        <f>W107/V107</f>
        <v>1.147826086956522</v>
      </c>
      <c r="X108" s="2">
        <f>X107/W107</f>
        <v>1.1515151515151516</v>
      </c>
      <c r="Z108" s="2">
        <f>Z107/Y107</f>
        <v>1.1499999999999999</v>
      </c>
      <c r="AA108" s="2">
        <f>AA107/Z107</f>
        <v>1.147826086956522</v>
      </c>
      <c r="AB108" s="2">
        <f>AB107/AA107</f>
        <v>1.1515151515151516</v>
      </c>
    </row>
    <row r="109" spans="15:38" s="2" customFormat="1" ht="15" hidden="1" customHeight="1"/>
    <row r="110" spans="15:38" s="2" customFormat="1" ht="15" hidden="1" customHeight="1">
      <c r="W110" s="2">
        <f>W107/U107</f>
        <v>1.32</v>
      </c>
      <c r="X110" s="2">
        <f>X107/U107</f>
        <v>1.52</v>
      </c>
      <c r="AA110" s="2">
        <f>AA107/Y107</f>
        <v>1.32</v>
      </c>
      <c r="AB110" s="2">
        <f>AB107/Y107</f>
        <v>1.52</v>
      </c>
    </row>
    <row r="111" spans="15:38" s="2" customFormat="1" ht="15" hidden="1" customHeight="1"/>
    <row r="112" spans="15:38" s="2" customFormat="1" ht="15" hidden="1" customHeight="1"/>
    <row r="113" spans="15:15" s="2" customFormat="1" ht="18" hidden="1" customHeight="1"/>
    <row r="114" spans="15:15" s="2" customFormat="1" ht="15" hidden="1" customHeight="1"/>
    <row r="115" spans="15:15" s="2" customFormat="1" ht="15" hidden="1" customHeight="1">
      <c r="O115" s="2">
        <f>J94*O16-O94</f>
        <v>34655.01</v>
      </c>
    </row>
    <row r="116" spans="15:15" s="2" customFormat="1" ht="15" hidden="1" customHeight="1"/>
    <row r="117" spans="15:15" s="2" customFormat="1" ht="12.75"/>
    <row r="118" spans="15:15" s="2" customFormat="1" ht="12.75"/>
    <row r="119" spans="15:15" s="2" customFormat="1" ht="12.75"/>
    <row r="120" spans="15:15" s="2" customFormat="1" ht="12.75"/>
    <row r="121" spans="15:15" s="2" customFormat="1" ht="12.75"/>
    <row r="122" spans="15:15" s="2" customFormat="1" ht="12.75"/>
    <row r="123" spans="15:15" s="2" customFormat="1" ht="12.75"/>
    <row r="124" spans="15:15" s="2" customFormat="1" ht="12.75"/>
    <row r="125" spans="15:15" s="2" customFormat="1" ht="12.75"/>
    <row r="126" spans="15:15" s="2" customFormat="1" ht="12.75"/>
    <row r="127" spans="15:15" s="2" customFormat="1" ht="12.75"/>
    <row r="128" spans="15:15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</sheetData>
  <mergeCells count="16">
    <mergeCell ref="A20:AK20"/>
    <mergeCell ref="AH7:AK7"/>
    <mergeCell ref="A83:B83"/>
    <mergeCell ref="A84:B84"/>
    <mergeCell ref="A9:AK9"/>
    <mergeCell ref="Y7:AC7"/>
    <mergeCell ref="AL7:AM7"/>
    <mergeCell ref="B1:AG1"/>
    <mergeCell ref="A7:A8"/>
    <mergeCell ref="B7:B8"/>
    <mergeCell ref="C7:C8"/>
    <mergeCell ref="F7:G7"/>
    <mergeCell ref="H7:K7"/>
    <mergeCell ref="U7:X7"/>
    <mergeCell ref="AD7:AG7"/>
    <mergeCell ref="N7:S7"/>
  </mergeCells>
  <pageMargins left="0.19685039370078741" right="0.19685039370078741" top="0.19685039370078741" bottom="0.19685039370078741" header="0.19685039370078741" footer="0.19685039370078741"/>
  <pageSetup paperSize="9" scale="7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4" sqref="C4"/>
    </sheetView>
  </sheetViews>
  <sheetFormatPr defaultRowHeight="15"/>
  <cols>
    <col min="1" max="1" width="47.5703125" customWidth="1"/>
    <col min="2" max="2" width="50.42578125" customWidth="1"/>
    <col min="3" max="3" width="14.140625" customWidth="1"/>
    <col min="4" max="4" width="10.42578125" customWidth="1"/>
  </cols>
  <sheetData>
    <row r="1" spans="1:8">
      <c r="A1" s="283" t="s">
        <v>344</v>
      </c>
      <c r="B1" s="284"/>
      <c r="C1" s="284"/>
      <c r="D1" s="284"/>
      <c r="E1" s="284"/>
      <c r="F1" s="284"/>
      <c r="G1" s="285"/>
    </row>
    <row r="2" spans="1:8">
      <c r="A2" s="286"/>
      <c r="B2" s="18"/>
      <c r="C2" s="18" t="s">
        <v>334</v>
      </c>
      <c r="D2" s="18" t="s">
        <v>343</v>
      </c>
      <c r="E2" s="18"/>
      <c r="F2" s="18"/>
      <c r="G2" s="287"/>
    </row>
    <row r="3" spans="1:8">
      <c r="A3" s="286" t="s">
        <v>335</v>
      </c>
      <c r="B3" s="18" t="s">
        <v>333</v>
      </c>
      <c r="C3" s="18">
        <v>1000</v>
      </c>
      <c r="D3" s="18">
        <f>C3*12</f>
        <v>12000</v>
      </c>
      <c r="E3" s="18"/>
      <c r="F3" s="18"/>
      <c r="G3" s="287"/>
    </row>
    <row r="4" spans="1:8">
      <c r="A4" s="286" t="s">
        <v>336</v>
      </c>
      <c r="B4" s="18" t="s">
        <v>337</v>
      </c>
      <c r="C4" s="18">
        <v>1267.5</v>
      </c>
      <c r="D4" s="18">
        <v>0</v>
      </c>
      <c r="E4" s="18" t="s">
        <v>338</v>
      </c>
      <c r="F4" s="18"/>
      <c r="G4" s="287"/>
      <c r="H4" t="s">
        <v>359</v>
      </c>
    </row>
    <row r="5" spans="1:8">
      <c r="A5" s="286" t="s">
        <v>339</v>
      </c>
      <c r="B5" s="18" t="s">
        <v>341</v>
      </c>
      <c r="C5" s="18" t="s">
        <v>342</v>
      </c>
      <c r="D5" s="18"/>
      <c r="E5" s="18" t="s">
        <v>340</v>
      </c>
      <c r="F5" s="18"/>
      <c r="G5" s="287"/>
    </row>
    <row r="6" spans="1:8">
      <c r="A6" s="286"/>
      <c r="B6" s="18"/>
      <c r="C6" s="18"/>
      <c r="D6" s="18">
        <f>SUM(D3:D5)</f>
        <v>12000</v>
      </c>
      <c r="E6" s="18"/>
      <c r="F6" s="18"/>
      <c r="G6" s="287"/>
    </row>
    <row r="7" spans="1:8" ht="15.75" thickBot="1">
      <c r="A7" s="288"/>
      <c r="B7" s="289"/>
      <c r="C7" s="289"/>
      <c r="D7" s="289">
        <f>D6/1000</f>
        <v>12</v>
      </c>
      <c r="E7" s="289"/>
      <c r="F7" s="289"/>
      <c r="G7" s="290"/>
    </row>
    <row r="11" spans="1:8">
      <c r="A11" t="s">
        <v>345</v>
      </c>
      <c r="D11" t="s">
        <v>343</v>
      </c>
    </row>
    <row r="12" spans="1:8" ht="28.5" customHeight="1">
      <c r="A12" t="s">
        <v>346</v>
      </c>
      <c r="B12" s="26" t="s">
        <v>347</v>
      </c>
      <c r="D12">
        <v>15454.31</v>
      </c>
    </row>
    <row r="13" spans="1:8" ht="45">
      <c r="A13" t="s">
        <v>346</v>
      </c>
      <c r="B13" s="26" t="s">
        <v>348</v>
      </c>
      <c r="D13">
        <v>58572.18</v>
      </c>
      <c r="E13" t="s">
        <v>354</v>
      </c>
    </row>
    <row r="14" spans="1:8" ht="45" customHeight="1">
      <c r="A14" t="s">
        <v>346</v>
      </c>
      <c r="B14" s="26" t="s">
        <v>349</v>
      </c>
      <c r="D14">
        <v>58572.18</v>
      </c>
      <c r="E14" t="s">
        <v>354</v>
      </c>
    </row>
    <row r="15" spans="1:8" ht="45">
      <c r="A15" t="s">
        <v>350</v>
      </c>
      <c r="B15" s="26" t="s">
        <v>351</v>
      </c>
      <c r="C15" t="s">
        <v>379</v>
      </c>
      <c r="D15">
        <v>49936.41</v>
      </c>
      <c r="E15">
        <v>54476.07</v>
      </c>
      <c r="F15" t="s">
        <v>380</v>
      </c>
    </row>
    <row r="16" spans="1:8" ht="45">
      <c r="A16" t="s">
        <v>350</v>
      </c>
      <c r="B16" s="26" t="s">
        <v>352</v>
      </c>
      <c r="C16" t="s">
        <v>379</v>
      </c>
      <c r="D16">
        <v>49936.41</v>
      </c>
      <c r="E16">
        <v>54476.07</v>
      </c>
      <c r="F16" t="s">
        <v>380</v>
      </c>
    </row>
    <row r="17" spans="1:7" ht="45">
      <c r="A17" t="s">
        <v>350</v>
      </c>
      <c r="B17" s="26" t="s">
        <v>353</v>
      </c>
      <c r="C17" t="s">
        <v>379</v>
      </c>
      <c r="D17">
        <v>46433.78</v>
      </c>
      <c r="E17">
        <v>56181.03</v>
      </c>
      <c r="F17" t="s">
        <v>380</v>
      </c>
      <c r="G17" t="s">
        <v>358</v>
      </c>
    </row>
    <row r="18" spans="1:7">
      <c r="D18">
        <f>SUM(D12:D17)</f>
        <v>278905.27</v>
      </c>
    </row>
    <row r="19" spans="1:7">
      <c r="D19">
        <f>D18/1000</f>
        <v>278.90527000000003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9"/>
  <sheetViews>
    <sheetView workbookViewId="0">
      <selection activeCell="F40" sqref="F40"/>
    </sheetView>
  </sheetViews>
  <sheetFormatPr defaultRowHeight="15"/>
  <cols>
    <col min="3" max="3" width="9.5703125" bestFit="1" customWidth="1"/>
  </cols>
  <sheetData>
    <row r="1" spans="2:19" ht="26.25">
      <c r="F1" s="535" t="s">
        <v>208</v>
      </c>
      <c r="G1" s="535"/>
      <c r="H1" s="535"/>
      <c r="I1" s="535"/>
      <c r="J1" s="535"/>
      <c r="K1" s="535"/>
      <c r="L1" s="535"/>
      <c r="M1" s="535"/>
    </row>
    <row r="5" spans="2:19">
      <c r="B5" s="17" t="s">
        <v>149</v>
      </c>
      <c r="F5" s="17" t="s">
        <v>210</v>
      </c>
      <c r="J5" s="536" t="s">
        <v>104</v>
      </c>
      <c r="K5" s="536"/>
      <c r="L5" s="536"/>
      <c r="M5" s="536"/>
      <c r="P5" s="536" t="s">
        <v>105</v>
      </c>
      <c r="Q5" s="536"/>
      <c r="R5" s="536"/>
      <c r="S5" s="536"/>
    </row>
    <row r="6" spans="2:19">
      <c r="B6" s="18"/>
      <c r="C6" s="537" t="s">
        <v>89</v>
      </c>
      <c r="D6" s="538"/>
      <c r="E6" s="28"/>
      <c r="F6" s="18"/>
      <c r="G6" s="537" t="s">
        <v>89</v>
      </c>
      <c r="H6" s="538"/>
      <c r="J6" s="26"/>
      <c r="K6" s="26"/>
      <c r="L6" s="26"/>
      <c r="M6" s="26"/>
      <c r="P6" s="26"/>
      <c r="Q6" s="26"/>
      <c r="R6" s="26"/>
      <c r="S6" s="26"/>
    </row>
    <row r="7" spans="2:19" ht="30">
      <c r="B7" s="19" t="s">
        <v>90</v>
      </c>
      <c r="C7" s="18" t="s">
        <v>128</v>
      </c>
      <c r="D7" s="18" t="s">
        <v>211</v>
      </c>
      <c r="E7" s="28"/>
      <c r="F7" s="19" t="s">
        <v>90</v>
      </c>
      <c r="G7" s="18" t="s">
        <v>128</v>
      </c>
      <c r="H7" s="18" t="s">
        <v>211</v>
      </c>
      <c r="J7" s="26"/>
      <c r="K7" s="26" t="s">
        <v>8</v>
      </c>
      <c r="L7" s="26" t="s">
        <v>106</v>
      </c>
      <c r="M7" s="26" t="s">
        <v>107</v>
      </c>
      <c r="P7" s="26"/>
      <c r="Q7" s="26" t="s">
        <v>8</v>
      </c>
      <c r="R7" s="26" t="s">
        <v>106</v>
      </c>
      <c r="S7" s="26" t="s">
        <v>107</v>
      </c>
    </row>
    <row r="8" spans="2:19">
      <c r="B8" s="18" t="s">
        <v>91</v>
      </c>
      <c r="C8" s="18">
        <f>1125+10488+1077+2+3034+1+4+1142+2995+10</f>
        <v>19878</v>
      </c>
      <c r="D8" s="18"/>
      <c r="E8" s="28"/>
      <c r="F8" s="18" t="s">
        <v>91</v>
      </c>
      <c r="G8" s="18"/>
      <c r="H8" s="18"/>
      <c r="J8" s="26" t="s">
        <v>91</v>
      </c>
      <c r="K8" s="27">
        <v>4.66</v>
      </c>
      <c r="L8" s="27">
        <v>1.18</v>
      </c>
      <c r="M8" s="27">
        <f t="shared" ref="M8:M17" si="0">K8*L8</f>
        <v>5.4988000000000001</v>
      </c>
      <c r="P8" s="26" t="s">
        <v>91</v>
      </c>
      <c r="Q8" s="27">
        <v>4.2450000000000001</v>
      </c>
      <c r="R8" s="27">
        <v>1.18</v>
      </c>
      <c r="S8" s="27">
        <f t="shared" ref="S8:S17" si="1">Q8*R8</f>
        <v>5.0091000000000001</v>
      </c>
    </row>
    <row r="9" spans="2:19">
      <c r="B9" s="18"/>
      <c r="C9" s="18"/>
      <c r="D9" s="18"/>
      <c r="E9" s="28"/>
      <c r="F9" s="18"/>
      <c r="G9" s="18"/>
      <c r="H9" s="18"/>
      <c r="J9" s="26" t="s">
        <v>92</v>
      </c>
      <c r="K9" s="27">
        <v>4.49</v>
      </c>
      <c r="L9" s="27">
        <v>1.18</v>
      </c>
      <c r="M9" s="27">
        <f t="shared" si="0"/>
        <v>5.2981999999999996</v>
      </c>
      <c r="P9" s="26" t="s">
        <v>92</v>
      </c>
      <c r="Q9" s="27">
        <v>4.0720000000000001</v>
      </c>
      <c r="R9" s="27">
        <v>1.18</v>
      </c>
      <c r="S9" s="27">
        <f t="shared" si="1"/>
        <v>4.8049599999999995</v>
      </c>
    </row>
    <row r="10" spans="2:19">
      <c r="B10" s="18" t="s">
        <v>92</v>
      </c>
      <c r="C10" s="18">
        <f>1531+4129+25215+2090+1062+3904+2695+1+4+1941+2709+1+2+1+10640+19+1000+195+777+1210</f>
        <v>59126</v>
      </c>
      <c r="D10" s="18"/>
      <c r="E10" s="28"/>
      <c r="F10" s="18" t="s">
        <v>92</v>
      </c>
      <c r="G10" s="18"/>
      <c r="H10" s="18"/>
      <c r="J10" s="26" t="s">
        <v>93</v>
      </c>
      <c r="K10" s="27">
        <v>4.6399999999999997</v>
      </c>
      <c r="L10" s="27">
        <v>1.18</v>
      </c>
      <c r="M10" s="27">
        <f t="shared" si="0"/>
        <v>5.4751999999999992</v>
      </c>
      <c r="P10" s="26" t="s">
        <v>93</v>
      </c>
      <c r="Q10" s="27">
        <v>4.2229999999999999</v>
      </c>
      <c r="R10" s="27">
        <v>1.18</v>
      </c>
      <c r="S10" s="27">
        <f t="shared" si="1"/>
        <v>4.9831399999999997</v>
      </c>
    </row>
    <row r="11" spans="2:19">
      <c r="B11" s="18"/>
      <c r="C11" s="18"/>
      <c r="D11" s="18"/>
      <c r="E11" s="28"/>
      <c r="F11" s="18"/>
      <c r="G11" s="18"/>
      <c r="H11" s="18"/>
      <c r="J11" s="26" t="s">
        <v>94</v>
      </c>
      <c r="K11" s="27">
        <v>4.71</v>
      </c>
      <c r="L11" s="27">
        <v>1.18</v>
      </c>
      <c r="M11" s="27">
        <f t="shared" si="0"/>
        <v>5.5577999999999994</v>
      </c>
      <c r="P11" s="26" t="s">
        <v>94</v>
      </c>
      <c r="Q11" s="27">
        <v>4.2919999999999998</v>
      </c>
      <c r="R11" s="27">
        <v>1.18</v>
      </c>
      <c r="S11" s="27">
        <f t="shared" si="1"/>
        <v>5.0645599999999993</v>
      </c>
    </row>
    <row r="12" spans="2:19">
      <c r="B12" s="18" t="s">
        <v>93</v>
      </c>
      <c r="C12" s="18">
        <f>8153+1292+1041+1918+1361+1+3+1143+2234+1+8+1+1+4908+9+8889+16+2787+732+162+854+854</f>
        <v>36368</v>
      </c>
      <c r="D12" s="18"/>
      <c r="E12" s="28"/>
      <c r="F12" s="18" t="s">
        <v>93</v>
      </c>
      <c r="G12" s="18"/>
      <c r="H12" s="18"/>
      <c r="J12" s="26" t="s">
        <v>95</v>
      </c>
      <c r="K12" s="27">
        <v>4.7699999999999996</v>
      </c>
      <c r="L12" s="27">
        <v>1.18</v>
      </c>
      <c r="M12" s="27">
        <f t="shared" si="0"/>
        <v>5.6285999999999996</v>
      </c>
      <c r="P12" s="26" t="s">
        <v>95</v>
      </c>
      <c r="Q12" s="27">
        <v>4.3520000000000003</v>
      </c>
      <c r="R12" s="27">
        <v>1.18</v>
      </c>
      <c r="S12" s="27">
        <f t="shared" si="1"/>
        <v>5.1353600000000004</v>
      </c>
    </row>
    <row r="13" spans="2:19">
      <c r="B13" s="18"/>
      <c r="C13" s="18"/>
      <c r="D13" s="18"/>
      <c r="E13" s="28"/>
      <c r="F13" s="18"/>
      <c r="G13" s="18"/>
      <c r="H13" s="18"/>
      <c r="J13" s="26" t="s">
        <v>96</v>
      </c>
      <c r="K13" s="27">
        <v>4.78</v>
      </c>
      <c r="L13" s="27">
        <v>1.18</v>
      </c>
      <c r="M13" s="27">
        <f t="shared" si="0"/>
        <v>5.6403999999999996</v>
      </c>
      <c r="P13" s="26" t="s">
        <v>96</v>
      </c>
      <c r="Q13" s="27">
        <v>4.3630000000000004</v>
      </c>
      <c r="R13" s="27">
        <v>1.18</v>
      </c>
      <c r="S13" s="27">
        <f t="shared" si="1"/>
        <v>5.1483400000000001</v>
      </c>
    </row>
    <row r="14" spans="2:19">
      <c r="B14" s="18" t="s">
        <v>94</v>
      </c>
      <c r="C14" s="18">
        <f>4313+100+925+125+834+3+3826+1+343+2143+4+2+1+4901+9+2907+5+800+500+28+894+1910</f>
        <v>24574</v>
      </c>
      <c r="D14" s="18"/>
      <c r="E14" s="28"/>
      <c r="F14" s="18" t="s">
        <v>94</v>
      </c>
      <c r="G14" s="18"/>
      <c r="H14" s="18"/>
      <c r="J14" s="26" t="s">
        <v>97</v>
      </c>
      <c r="K14" s="27">
        <v>4.72</v>
      </c>
      <c r="L14" s="27">
        <v>1.18</v>
      </c>
      <c r="M14" s="27">
        <f t="shared" si="0"/>
        <v>5.5695999999999994</v>
      </c>
      <c r="P14" s="26" t="s">
        <v>97</v>
      </c>
      <c r="Q14" s="27">
        <v>4.2919999999999998</v>
      </c>
      <c r="R14" s="27">
        <v>1.18</v>
      </c>
      <c r="S14" s="27">
        <f t="shared" si="1"/>
        <v>5.0645599999999993</v>
      </c>
    </row>
    <row r="15" spans="2:19">
      <c r="B15" s="18"/>
      <c r="C15" s="18"/>
      <c r="D15" s="18"/>
      <c r="E15" s="28"/>
      <c r="F15" s="18"/>
      <c r="G15" s="18"/>
      <c r="H15" s="18"/>
      <c r="J15" s="26" t="s">
        <v>98</v>
      </c>
      <c r="K15" s="27">
        <v>4.66</v>
      </c>
      <c r="L15" s="27">
        <v>1.18</v>
      </c>
      <c r="M15" s="27">
        <f t="shared" si="0"/>
        <v>5.4988000000000001</v>
      </c>
      <c r="P15" s="26" t="s">
        <v>98</v>
      </c>
      <c r="Q15" s="27">
        <v>4.2309999999999999</v>
      </c>
      <c r="R15" s="27">
        <v>1.18</v>
      </c>
      <c r="S15" s="27">
        <f t="shared" si="1"/>
        <v>4.9925799999999994</v>
      </c>
    </row>
    <row r="16" spans="2:19" ht="15.75" customHeight="1">
      <c r="B16" s="18" t="s">
        <v>95</v>
      </c>
      <c r="C16" s="18">
        <f>3032+1793+3331+1207+28+125+2916+1507+4+514+3336+6+13+2+4+5933+11+3318+6+1850+1035+1003+1033</f>
        <v>32007</v>
      </c>
      <c r="D16" s="18"/>
      <c r="E16" s="28"/>
      <c r="F16" s="18" t="s">
        <v>95</v>
      </c>
      <c r="G16" s="18"/>
      <c r="H16" s="18"/>
      <c r="J16" s="26" t="s">
        <v>99</v>
      </c>
      <c r="K16" s="27">
        <v>4.53</v>
      </c>
      <c r="L16" s="27">
        <v>1.18</v>
      </c>
      <c r="M16" s="27">
        <f t="shared" si="0"/>
        <v>5.3453999999999997</v>
      </c>
      <c r="P16" s="26" t="s">
        <v>99</v>
      </c>
      <c r="Q16" s="27">
        <v>4.1029999999999998</v>
      </c>
      <c r="R16" s="27">
        <v>1.18</v>
      </c>
      <c r="S16" s="27">
        <f t="shared" si="1"/>
        <v>4.8415399999999993</v>
      </c>
    </row>
    <row r="17" spans="2:19">
      <c r="B17" s="18"/>
      <c r="C17" s="18"/>
      <c r="D17" s="18"/>
      <c r="E17" s="28"/>
      <c r="F17" s="18"/>
      <c r="G17" s="18"/>
      <c r="H17" s="18"/>
      <c r="J17" s="26" t="s">
        <v>100</v>
      </c>
      <c r="K17" s="27">
        <v>4.53</v>
      </c>
      <c r="L17" s="27">
        <v>1.18</v>
      </c>
      <c r="M17" s="27">
        <f t="shared" si="0"/>
        <v>5.3453999999999997</v>
      </c>
      <c r="P17" s="26" t="s">
        <v>100</v>
      </c>
      <c r="Q17" s="27">
        <v>4.1059999999999999</v>
      </c>
      <c r="R17" s="27">
        <v>1.18</v>
      </c>
      <c r="S17" s="27">
        <f t="shared" si="1"/>
        <v>4.8450799999999994</v>
      </c>
    </row>
    <row r="18" spans="2:19">
      <c r="B18" s="18" t="s">
        <v>96</v>
      </c>
      <c r="C18" s="18">
        <f>809+952+875+2437+2015+1550+2+423+313+1291+5+1+1+3+4343+8+3290+6+1607+655+549+846+1046</f>
        <v>23027</v>
      </c>
      <c r="D18" s="18"/>
      <c r="E18" s="28"/>
      <c r="F18" s="18" t="s">
        <v>96</v>
      </c>
      <c r="G18" s="18"/>
      <c r="H18" s="18"/>
      <c r="J18" s="26"/>
      <c r="K18" s="27"/>
      <c r="L18" s="27"/>
      <c r="M18" s="27"/>
      <c r="P18" s="26"/>
      <c r="Q18" s="27"/>
      <c r="R18" s="27"/>
      <c r="S18" s="27"/>
    </row>
    <row r="19" spans="2:19">
      <c r="B19" s="18"/>
      <c r="C19" s="18"/>
      <c r="D19" s="18"/>
      <c r="E19" s="28"/>
      <c r="F19" s="18"/>
      <c r="G19" s="18"/>
      <c r="H19" s="18"/>
      <c r="J19" s="26"/>
      <c r="K19" s="27"/>
      <c r="L19" s="27"/>
      <c r="M19" s="27"/>
      <c r="P19" s="26"/>
      <c r="Q19" s="27"/>
      <c r="R19" s="27"/>
      <c r="S19" s="27"/>
    </row>
    <row r="20" spans="2:19">
      <c r="B20" s="18" t="s">
        <v>97</v>
      </c>
      <c r="C20" s="18">
        <f>4508+704+1359+1176+1050+1596+1350+1+653+206+413+876+1+3+2+3805+7+2478+4+888+310+304+865+1171+328+3</f>
        <v>24061</v>
      </c>
      <c r="D20" s="18"/>
      <c r="E20" s="28"/>
      <c r="F20" s="18" t="s">
        <v>97</v>
      </c>
      <c r="G20" s="18"/>
      <c r="H20" s="18"/>
      <c r="J20" s="26"/>
      <c r="K20" s="27"/>
      <c r="L20" s="27"/>
      <c r="M20" s="27"/>
      <c r="P20" s="26"/>
      <c r="Q20" s="27"/>
      <c r="R20" s="27"/>
      <c r="S20" s="27"/>
    </row>
    <row r="21" spans="2:19">
      <c r="B21" s="18"/>
      <c r="C21" s="18"/>
      <c r="D21" s="18"/>
      <c r="E21" s="28"/>
      <c r="F21" s="18"/>
      <c r="G21" s="18"/>
      <c r="H21" s="18"/>
      <c r="J21" s="26"/>
      <c r="K21" s="27" t="s">
        <v>108</v>
      </c>
      <c r="L21" s="27"/>
      <c r="M21" s="27" t="s">
        <v>109</v>
      </c>
      <c r="P21" s="26"/>
      <c r="Q21" s="27" t="s">
        <v>108</v>
      </c>
      <c r="R21" s="27"/>
      <c r="S21" s="27" t="s">
        <v>109</v>
      </c>
    </row>
    <row r="22" spans="2:19">
      <c r="B22" s="18" t="s">
        <v>98</v>
      </c>
      <c r="C22" s="18">
        <f>2967+800+1712+1250+1660+2064+1+873+1+2+528+207+850+1366+2+4+3+4855+9+4335+8+1481+300+322+990+1260+754+7</f>
        <v>28611</v>
      </c>
      <c r="D22" s="18"/>
      <c r="E22" s="28"/>
      <c r="F22" s="18" t="s">
        <v>98</v>
      </c>
      <c r="G22" s="18"/>
      <c r="H22" s="18"/>
      <c r="J22" s="26" t="s">
        <v>110</v>
      </c>
      <c r="K22" s="27">
        <f>SUM(K8:K21)/10</f>
        <v>4.6490000000000009</v>
      </c>
      <c r="L22" s="27"/>
      <c r="M22" s="155">
        <f>K22*1.18</f>
        <v>5.4858200000000004</v>
      </c>
      <c r="P22" s="26" t="s">
        <v>110</v>
      </c>
      <c r="Q22" s="27">
        <f>SUM(Q8:Q21)/10</f>
        <v>4.2279</v>
      </c>
      <c r="R22" s="27"/>
      <c r="S22" s="155">
        <f>Q22*1.18</f>
        <v>4.9889219999999996</v>
      </c>
    </row>
    <row r="23" spans="2:19">
      <c r="B23" s="18"/>
      <c r="C23" s="18"/>
      <c r="D23" s="18"/>
      <c r="E23" s="28"/>
      <c r="F23" s="18"/>
      <c r="G23" s="18"/>
      <c r="H23" s="18"/>
    </row>
    <row r="24" spans="2:19">
      <c r="B24" s="18" t="s">
        <v>99</v>
      </c>
      <c r="C24" s="18">
        <f>2206+594+1260+1081+1559+2422+741+1+288+126+410+495+6+2+3+2+9+5590+10+3450+6+1861+1250+39+1123+1687+1</f>
        <v>26222</v>
      </c>
      <c r="D24" s="18"/>
      <c r="E24" s="28"/>
      <c r="F24" s="18" t="s">
        <v>99</v>
      </c>
      <c r="G24" s="18"/>
      <c r="H24" s="18"/>
      <c r="K24" s="28"/>
    </row>
    <row r="25" spans="2:19">
      <c r="B25" s="18"/>
      <c r="C25" s="18"/>
      <c r="D25" s="18"/>
      <c r="E25" s="28"/>
      <c r="F25" s="18"/>
      <c r="G25" s="18"/>
      <c r="H25" s="18"/>
      <c r="K25" s="28"/>
    </row>
    <row r="26" spans="2:19">
      <c r="B26" s="18" t="s">
        <v>100</v>
      </c>
      <c r="C26" s="18">
        <f>2206+594+1260+1081+1559+2422+741+1+288+126+410+495+6+1+2+3+55+114+5590+10+3450+6+1861+1250+7+1123+1687</f>
        <v>26348</v>
      </c>
      <c r="D26" s="18"/>
      <c r="E26" s="28"/>
      <c r="F26" s="18" t="s">
        <v>100</v>
      </c>
      <c r="G26" s="18"/>
      <c r="H26" s="18"/>
      <c r="K26" s="28"/>
    </row>
    <row r="27" spans="2:19">
      <c r="B27" s="18"/>
      <c r="C27" s="18"/>
      <c r="D27" s="18"/>
      <c r="E27" s="28"/>
      <c r="F27" s="18"/>
      <c r="G27" s="18"/>
      <c r="H27" s="18"/>
      <c r="K27" s="28"/>
    </row>
    <row r="28" spans="2:19">
      <c r="B28" s="18" t="s">
        <v>101</v>
      </c>
      <c r="C28" s="18">
        <f>1336+486+2232+1021+1185+1500+3361+1+121+27+1072+4+5+1+2+57+2987+5+2016+4+521+32+814+4032+29</f>
        <v>22851</v>
      </c>
      <c r="D28" s="18"/>
      <c r="E28" s="28"/>
      <c r="F28" s="18" t="s">
        <v>101</v>
      </c>
      <c r="G28" s="18"/>
      <c r="H28" s="18"/>
      <c r="K28" s="28"/>
    </row>
    <row r="29" spans="2:19">
      <c r="B29" s="18"/>
      <c r="C29" s="18"/>
      <c r="D29" s="18"/>
      <c r="E29" s="28"/>
      <c r="F29" s="18"/>
      <c r="G29" s="18"/>
      <c r="H29" s="18"/>
      <c r="K29" s="28"/>
    </row>
    <row r="30" spans="2:19">
      <c r="B30" s="18" t="s">
        <v>102</v>
      </c>
      <c r="C30" s="18">
        <f>1803+485+1698+994+1334+1723+3814+39+81+450+6+2+2+60+113+4997+9+2394+4+1569+9+1025</f>
        <v>22611</v>
      </c>
      <c r="D30" s="18"/>
      <c r="E30" s="28"/>
      <c r="F30" s="18" t="s">
        <v>102</v>
      </c>
      <c r="G30" s="18"/>
      <c r="H30" s="18"/>
      <c r="K30" s="28"/>
    </row>
    <row r="31" spans="2:19">
      <c r="B31" s="18"/>
      <c r="C31" s="18"/>
      <c r="D31" s="18"/>
      <c r="E31" s="28"/>
      <c r="F31" s="18"/>
      <c r="G31" s="18"/>
      <c r="H31" s="18"/>
      <c r="K31" s="28"/>
    </row>
    <row r="32" spans="2:19">
      <c r="B32" s="18"/>
      <c r="C32" s="18"/>
      <c r="D32" s="18"/>
      <c r="E32" s="28"/>
      <c r="F32" s="18"/>
      <c r="G32" s="18"/>
      <c r="H32" s="18"/>
      <c r="K32" s="28"/>
    </row>
    <row r="33" spans="2:11">
      <c r="B33" s="20" t="s">
        <v>103</v>
      </c>
      <c r="C33" s="21">
        <f>(C8+C10+C12+C14+C16+C18+C20+C22+C24+C26+C28+C30)/1000</f>
        <v>345.68400000000003</v>
      </c>
      <c r="D33" s="21"/>
      <c r="E33" s="28"/>
      <c r="F33" s="20" t="s">
        <v>103</v>
      </c>
      <c r="G33" s="21"/>
      <c r="H33" s="21"/>
      <c r="K33" s="30"/>
    </row>
    <row r="34" spans="2:11">
      <c r="B34" s="20"/>
      <c r="C34" s="22"/>
      <c r="D34" s="22"/>
      <c r="E34" s="28"/>
      <c r="F34" s="20"/>
      <c r="G34" s="22"/>
      <c r="H34" s="22"/>
      <c r="K34" s="28"/>
    </row>
    <row r="35" spans="2:11">
      <c r="B35" s="28"/>
      <c r="C35" s="28"/>
      <c r="D35" s="28"/>
      <c r="E35" s="28"/>
      <c r="F35" s="28"/>
      <c r="G35" s="28"/>
      <c r="H35" s="28"/>
    </row>
    <row r="36" spans="2:11">
      <c r="B36" s="28"/>
      <c r="C36" s="29"/>
      <c r="D36" s="29"/>
      <c r="E36" s="29"/>
      <c r="F36" s="23"/>
    </row>
    <row r="37" spans="2:11">
      <c r="B37" s="30"/>
      <c r="C37" s="30"/>
      <c r="D37" s="30"/>
      <c r="E37" s="30"/>
      <c r="F37" s="24"/>
      <c r="I37" s="24"/>
      <c r="J37" s="24"/>
    </row>
    <row r="38" spans="2:11" ht="21">
      <c r="B38" s="30"/>
      <c r="C38" s="31"/>
      <c r="D38" s="30"/>
      <c r="E38" s="30"/>
      <c r="F38" s="25"/>
    </row>
    <row r="39" spans="2:11">
      <c r="B39" s="30"/>
      <c r="C39" s="30"/>
      <c r="D39" s="30"/>
      <c r="E39" s="30"/>
      <c r="F39" s="24"/>
    </row>
  </sheetData>
  <mergeCells count="5">
    <mergeCell ref="F1:M1"/>
    <mergeCell ref="J5:M5"/>
    <mergeCell ref="P5:S5"/>
    <mergeCell ref="C6:D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D5:I32"/>
  <sheetViews>
    <sheetView topLeftCell="C1" workbookViewId="0">
      <selection activeCell="D28" sqref="D28:I32"/>
    </sheetView>
  </sheetViews>
  <sheetFormatPr defaultRowHeight="15"/>
  <cols>
    <col min="1" max="3" width="9.140625" style="26"/>
    <col min="4" max="4" width="24.28515625" style="26" customWidth="1"/>
    <col min="5" max="5" width="16" style="26" customWidth="1"/>
    <col min="6" max="6" width="22.42578125" style="26" customWidth="1"/>
    <col min="7" max="7" width="24" style="26" customWidth="1"/>
    <col min="8" max="8" width="17.5703125" style="26" customWidth="1"/>
    <col min="9" max="9" width="23.7109375" style="26" customWidth="1"/>
    <col min="10" max="16384" width="9.140625" style="26"/>
  </cols>
  <sheetData>
    <row r="5" spans="4:9" ht="26.25">
      <c r="E5" s="539" t="s">
        <v>208</v>
      </c>
      <c r="F5" s="539"/>
      <c r="G5" s="539"/>
      <c r="H5" s="539"/>
    </row>
    <row r="6" spans="4:9" ht="26.25">
      <c r="E6" s="204"/>
      <c r="F6" s="204"/>
      <c r="G6" s="204"/>
      <c r="H6" s="204"/>
    </row>
    <row r="7" spans="4:9" ht="26.25">
      <c r="E7" s="204"/>
      <c r="F7" s="539" t="s">
        <v>221</v>
      </c>
      <c r="G7" s="539"/>
      <c r="H7" s="204"/>
    </row>
    <row r="9" spans="4:9" ht="31.5">
      <c r="D9" s="32" t="s">
        <v>111</v>
      </c>
      <c r="E9" s="32" t="s">
        <v>112</v>
      </c>
      <c r="F9" s="32" t="s">
        <v>115</v>
      </c>
      <c r="G9" s="32" t="s">
        <v>113</v>
      </c>
      <c r="H9" s="32" t="s">
        <v>220</v>
      </c>
      <c r="I9" s="32" t="s">
        <v>114</v>
      </c>
    </row>
    <row r="10" spans="4:9" ht="15.75">
      <c r="D10" s="152" t="s">
        <v>217</v>
      </c>
      <c r="E10" s="34"/>
      <c r="F10" s="33">
        <v>55.76</v>
      </c>
      <c r="G10" s="33">
        <v>0.94511999999999996</v>
      </c>
      <c r="H10" s="212">
        <f t="shared" ref="H10:H15" si="0">G10/F10</f>
        <v>1.6949784791965565E-2</v>
      </c>
      <c r="I10" s="33">
        <v>33.147559999999999</v>
      </c>
    </row>
    <row r="11" spans="4:9" ht="15.75">
      <c r="D11" s="152" t="s">
        <v>218</v>
      </c>
      <c r="E11" s="34"/>
      <c r="F11" s="33">
        <v>321.44</v>
      </c>
      <c r="G11" s="33">
        <v>5.4481200000000003</v>
      </c>
      <c r="H11" s="212">
        <f t="shared" si="0"/>
        <v>1.6949104031856645E-2</v>
      </c>
      <c r="I11" s="33">
        <v>120.77637</v>
      </c>
    </row>
    <row r="12" spans="4:9" ht="15.75">
      <c r="D12" s="152" t="s">
        <v>218</v>
      </c>
      <c r="E12" s="34"/>
      <c r="F12" s="33">
        <v>74.783000000000001</v>
      </c>
      <c r="G12" s="33">
        <v>1.26756</v>
      </c>
      <c r="H12" s="212">
        <f t="shared" si="0"/>
        <v>1.6949841541526817E-2</v>
      </c>
      <c r="I12" s="33">
        <v>15.385020000000001</v>
      </c>
    </row>
    <row r="13" spans="4:9" ht="15.75">
      <c r="D13" s="152" t="s">
        <v>218</v>
      </c>
      <c r="E13" s="34"/>
      <c r="F13" s="33">
        <v>67.852000000000004</v>
      </c>
      <c r="G13" s="33">
        <v>1.1499999999999999</v>
      </c>
      <c r="H13" s="212">
        <f t="shared" si="0"/>
        <v>1.6948652950539406E-2</v>
      </c>
      <c r="I13" s="33">
        <v>12.807399999999999</v>
      </c>
    </row>
    <row r="14" spans="4:9" ht="15.75">
      <c r="D14" s="152" t="s">
        <v>218</v>
      </c>
      <c r="E14" s="34"/>
      <c r="F14" s="33">
        <v>2563.37023</v>
      </c>
      <c r="G14" s="33">
        <v>43.446959999999997</v>
      </c>
      <c r="H14" s="212">
        <f t="shared" si="0"/>
        <v>1.6949155253316646E-2</v>
      </c>
      <c r="I14" s="33">
        <v>2306.3090000000002</v>
      </c>
    </row>
    <row r="15" spans="4:9" ht="15.75">
      <c r="D15" s="152" t="s">
        <v>219</v>
      </c>
      <c r="E15" s="34"/>
      <c r="F15" s="33">
        <v>153.97351</v>
      </c>
      <c r="G15" s="33">
        <v>8.5540000000000003</v>
      </c>
      <c r="H15" s="212">
        <f t="shared" si="0"/>
        <v>5.5555010728793541E-2</v>
      </c>
      <c r="I15" s="33">
        <v>55.072949999999999</v>
      </c>
    </row>
    <row r="17" spans="4:9" ht="18">
      <c r="D17" s="153" t="s">
        <v>110</v>
      </c>
      <c r="E17" s="153"/>
      <c r="F17" s="153"/>
      <c r="G17" s="154">
        <f>SUM(G10:G15)</f>
        <v>60.81176</v>
      </c>
    </row>
    <row r="20" spans="4:9" ht="26.25">
      <c r="E20" s="204"/>
      <c r="F20" s="539" t="s">
        <v>222</v>
      </c>
      <c r="G20" s="539"/>
      <c r="H20" s="204"/>
    </row>
    <row r="22" spans="4:9" ht="31.5">
      <c r="D22" s="32" t="s">
        <v>111</v>
      </c>
      <c r="E22" s="32" t="s">
        <v>112</v>
      </c>
      <c r="F22" s="32" t="s">
        <v>115</v>
      </c>
      <c r="G22" s="32" t="s">
        <v>113</v>
      </c>
      <c r="H22" s="32" t="s">
        <v>220</v>
      </c>
      <c r="I22" s="32" t="s">
        <v>114</v>
      </c>
    </row>
    <row r="23" spans="4:9" ht="15.75">
      <c r="D23" s="152" t="s">
        <v>223</v>
      </c>
      <c r="E23" s="34"/>
      <c r="F23" s="33">
        <v>312.97800000000001</v>
      </c>
      <c r="G23" s="33">
        <f>F23*H23</f>
        <v>5.3206260000000007</v>
      </c>
      <c r="H23" s="212">
        <v>1.7000000000000001E-2</v>
      </c>
      <c r="I23" s="33">
        <v>104.273</v>
      </c>
    </row>
    <row r="25" spans="4:9" ht="18">
      <c r="D25" s="153" t="s">
        <v>110</v>
      </c>
      <c r="E25" s="153"/>
      <c r="F25" s="153"/>
      <c r="G25" s="154">
        <f>SUM(G23:G23)</f>
        <v>5.3206260000000007</v>
      </c>
    </row>
    <row r="28" spans="4:9" ht="20.25" customHeight="1">
      <c r="D28" s="159"/>
      <c r="E28" s="159"/>
      <c r="F28" s="159"/>
      <c r="G28" s="159"/>
      <c r="H28" s="159"/>
      <c r="I28" s="159"/>
    </row>
    <row r="29" spans="4:9">
      <c r="D29" s="159"/>
      <c r="E29" s="159"/>
      <c r="F29" s="159"/>
      <c r="G29" s="159"/>
      <c r="H29" s="159"/>
      <c r="I29" s="159"/>
    </row>
    <row r="30" spans="4:9" ht="15.75" customHeight="1">
      <c r="D30" s="159"/>
      <c r="E30" s="159"/>
      <c r="F30" s="159"/>
      <c r="G30" s="159"/>
      <c r="H30" s="159"/>
      <c r="I30" s="159"/>
    </row>
    <row r="31" spans="4:9" ht="15.75" customHeight="1">
      <c r="D31" s="159"/>
      <c r="E31" s="159"/>
      <c r="F31" s="159"/>
      <c r="G31" s="159"/>
      <c r="H31" s="159"/>
      <c r="I31" s="159"/>
    </row>
    <row r="32" spans="4:9">
      <c r="D32" s="159"/>
      <c r="E32" s="159"/>
      <c r="F32" s="159"/>
      <c r="G32" s="159"/>
      <c r="H32" s="159"/>
      <c r="I32" s="159"/>
    </row>
  </sheetData>
  <mergeCells count="3">
    <mergeCell ref="E5:H5"/>
    <mergeCell ref="F7:G7"/>
    <mergeCell ref="F20:G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3:J15"/>
  <sheetViews>
    <sheetView workbookViewId="0">
      <selection activeCell="G17" sqref="G17"/>
    </sheetView>
  </sheetViews>
  <sheetFormatPr defaultRowHeight="15"/>
  <cols>
    <col min="1" max="2" width="9.140625" style="26"/>
    <col min="3" max="3" width="17" style="26" customWidth="1"/>
    <col min="4" max="4" width="12.42578125" style="26" customWidth="1"/>
    <col min="5" max="6" width="9.140625" style="26"/>
    <col min="7" max="7" width="20.5703125" style="26" customWidth="1"/>
    <col min="8" max="8" width="16.7109375" style="26" customWidth="1"/>
    <col min="9" max="9" width="19.7109375" style="26" customWidth="1"/>
    <col min="10" max="16384" width="9.140625" style="26"/>
  </cols>
  <sheetData>
    <row r="3" spans="3:10">
      <c r="C3" s="540" t="s">
        <v>256</v>
      </c>
      <c r="D3" s="540"/>
      <c r="E3" s="540"/>
      <c r="F3" s="540"/>
      <c r="G3" s="178"/>
      <c r="H3" s="178"/>
      <c r="I3" s="178"/>
    </row>
    <row r="4" spans="3:10">
      <c r="C4" s="178"/>
      <c r="D4" s="178"/>
      <c r="E4" s="178"/>
      <c r="F4" s="178"/>
      <c r="G4" s="178"/>
      <c r="H4" s="178"/>
      <c r="I4" s="178"/>
    </row>
    <row r="5" spans="3:10" ht="31.5" customHeight="1">
      <c r="C5" s="178" t="s">
        <v>203</v>
      </c>
      <c r="D5" s="178" t="s">
        <v>204</v>
      </c>
      <c r="E5" s="178" t="s">
        <v>205</v>
      </c>
      <c r="F5" s="205" t="s">
        <v>259</v>
      </c>
      <c r="G5" s="178"/>
      <c r="H5" s="178"/>
      <c r="I5" s="178"/>
    </row>
    <row r="6" spans="3:10">
      <c r="C6" s="205" t="s">
        <v>257</v>
      </c>
      <c r="D6" s="178">
        <v>25</v>
      </c>
      <c r="E6" s="178">
        <v>84</v>
      </c>
      <c r="F6" s="177">
        <f>D6*E6/1000</f>
        <v>2.1</v>
      </c>
      <c r="G6" s="178"/>
      <c r="H6" s="178"/>
      <c r="I6" s="178"/>
    </row>
    <row r="7" spans="3:10">
      <c r="C7" s="205" t="s">
        <v>258</v>
      </c>
      <c r="D7" s="178">
        <v>25</v>
      </c>
      <c r="E7" s="178">
        <v>74</v>
      </c>
      <c r="F7" s="178">
        <f>D7*E7/1000</f>
        <v>1.85</v>
      </c>
      <c r="G7" s="178"/>
      <c r="H7" s="178"/>
      <c r="I7" s="178"/>
      <c r="J7" s="159"/>
    </row>
    <row r="8" spans="3:10">
      <c r="C8" s="178"/>
      <c r="D8" s="178"/>
      <c r="E8" s="178"/>
      <c r="F8" s="178"/>
      <c r="G8" s="199">
        <f>F9*ФОТ!F73</f>
        <v>0</v>
      </c>
      <c r="H8" s="200" t="s">
        <v>206</v>
      </c>
      <c r="I8" s="178"/>
      <c r="J8" s="159"/>
    </row>
    <row r="9" spans="3:10">
      <c r="C9" s="201" t="s">
        <v>110</v>
      </c>
      <c r="D9" s="201"/>
      <c r="E9" s="201"/>
      <c r="F9" s="201">
        <f>SUM(F6:F8)</f>
        <v>3.95</v>
      </c>
      <c r="G9" s="202">
        <f>F9*ФОТ!G73</f>
        <v>0</v>
      </c>
      <c r="H9" s="203" t="s">
        <v>207</v>
      </c>
      <c r="I9" s="178"/>
      <c r="J9" s="159"/>
    </row>
    <row r="10" spans="3:10">
      <c r="C10" s="178"/>
      <c r="D10" s="178"/>
      <c r="E10" s="178"/>
      <c r="F10" s="178"/>
      <c r="G10" s="178"/>
      <c r="H10" s="178"/>
      <c r="I10" s="178"/>
      <c r="J10" s="159"/>
    </row>
    <row r="11" spans="3:10">
      <c r="G11" s="159"/>
      <c r="H11" s="159"/>
      <c r="I11" s="160"/>
      <c r="J11" s="159"/>
    </row>
    <row r="12" spans="3:10" ht="18">
      <c r="F12" s="27"/>
      <c r="G12" s="161"/>
      <c r="H12" s="161"/>
      <c r="I12" s="162"/>
      <c r="J12" s="159"/>
    </row>
    <row r="13" spans="3:10">
      <c r="G13" s="159"/>
      <c r="H13" s="159"/>
      <c r="I13" s="159"/>
      <c r="J13" s="159"/>
    </row>
    <row r="14" spans="3:10">
      <c r="G14" s="159"/>
      <c r="H14" s="159"/>
      <c r="I14" s="159"/>
      <c r="J14" s="159"/>
    </row>
    <row r="15" spans="3:10">
      <c r="C15" s="173"/>
      <c r="F15" s="174"/>
      <c r="G15" s="159"/>
      <c r="H15" s="159"/>
      <c r="I15" s="159"/>
      <c r="J15" s="159"/>
    </row>
  </sheetData>
  <mergeCells count="1"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9"/>
  <sheetViews>
    <sheetView topLeftCell="A36" zoomScale="75" zoomScaleNormal="75" workbookViewId="0">
      <selection activeCell="G1" sqref="G1:G1048576"/>
    </sheetView>
  </sheetViews>
  <sheetFormatPr defaultColWidth="11.42578125" defaultRowHeight="15"/>
  <cols>
    <col min="1" max="1" width="11.42578125" style="149"/>
    <col min="2" max="2" width="18.85546875" style="68" customWidth="1"/>
    <col min="3" max="3" width="12.7109375" style="124" bestFit="1" customWidth="1"/>
    <col min="4" max="5" width="11.42578125" style="124"/>
    <col min="6" max="7" width="13.28515625" style="124" bestFit="1" customWidth="1"/>
    <col min="8" max="8" width="0" style="124" hidden="1" customWidth="1"/>
    <col min="9" max="9" width="13.5703125" style="124" hidden="1" customWidth="1"/>
    <col min="10" max="11" width="11.42578125" style="124" hidden="1" customWidth="1"/>
    <col min="12" max="14" width="11.42578125" style="124" customWidth="1"/>
    <col min="15" max="17" width="11.42578125" style="124" hidden="1" customWidth="1"/>
    <col min="18" max="18" width="11.42578125" style="124" customWidth="1"/>
    <col min="19" max="19" width="11.42578125" style="124" hidden="1" customWidth="1"/>
    <col min="20" max="21" width="11.42578125" style="124"/>
    <col min="22" max="22" width="11.42578125" style="68"/>
    <col min="23" max="23" width="0" style="68" hidden="1" customWidth="1"/>
    <col min="24" max="25" width="13.28515625" style="68" bestFit="1" customWidth="1"/>
    <col min="26" max="16384" width="11.42578125" style="68"/>
  </cols>
  <sheetData>
    <row r="1" spans="1:24">
      <c r="A1" s="548" t="s">
        <v>116</v>
      </c>
      <c r="B1" s="548" t="s">
        <v>117</v>
      </c>
      <c r="C1" s="548" t="s">
        <v>118</v>
      </c>
      <c r="D1" s="548" t="s">
        <v>119</v>
      </c>
      <c r="E1" s="548" t="s">
        <v>140</v>
      </c>
      <c r="F1" s="548" t="s">
        <v>120</v>
      </c>
      <c r="G1" s="548" t="s">
        <v>182</v>
      </c>
      <c r="H1" s="548" t="s">
        <v>183</v>
      </c>
      <c r="I1" s="552" t="s">
        <v>184</v>
      </c>
      <c r="J1" s="553" t="s">
        <v>185</v>
      </c>
      <c r="K1" s="553" t="s">
        <v>186</v>
      </c>
      <c r="L1" s="558" t="s">
        <v>121</v>
      </c>
      <c r="M1" s="559"/>
      <c r="N1" s="559"/>
      <c r="O1" s="559"/>
      <c r="P1" s="169"/>
      <c r="Q1" s="170"/>
      <c r="R1" s="51"/>
      <c r="S1" s="51"/>
      <c r="T1" s="550" t="s">
        <v>122</v>
      </c>
      <c r="U1" s="548" t="s">
        <v>123</v>
      </c>
      <c r="V1" s="541" t="s">
        <v>141</v>
      </c>
    </row>
    <row r="2" spans="1:24" ht="43.5" customHeight="1">
      <c r="A2" s="549"/>
      <c r="B2" s="549"/>
      <c r="C2" s="549"/>
      <c r="D2" s="549"/>
      <c r="E2" s="549"/>
      <c r="F2" s="549"/>
      <c r="G2" s="549"/>
      <c r="H2" s="549"/>
      <c r="I2" s="552"/>
      <c r="J2" s="553"/>
      <c r="K2" s="553"/>
      <c r="L2" s="554" t="s">
        <v>305</v>
      </c>
      <c r="M2" s="555"/>
      <c r="N2" s="53">
        <v>0.6</v>
      </c>
      <c r="O2" s="53">
        <v>0.65</v>
      </c>
      <c r="P2" s="53">
        <v>1.2</v>
      </c>
      <c r="Q2" s="53">
        <v>1.4</v>
      </c>
      <c r="R2" s="53" t="s">
        <v>142</v>
      </c>
      <c r="S2" s="53" t="s">
        <v>143</v>
      </c>
      <c r="T2" s="551"/>
      <c r="U2" s="549"/>
      <c r="V2" s="542"/>
    </row>
    <row r="3" spans="1:24">
      <c r="A3" s="543" t="s">
        <v>124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5"/>
      <c r="V3" s="54"/>
    </row>
    <row r="4" spans="1:24">
      <c r="A4" s="69">
        <v>1</v>
      </c>
      <c r="B4" s="55" t="s">
        <v>125</v>
      </c>
      <c r="C4" s="70"/>
      <c r="D4" s="71">
        <v>1</v>
      </c>
      <c r="E4" s="72"/>
      <c r="F4" s="73">
        <v>23860</v>
      </c>
      <c r="G4" s="73"/>
      <c r="H4" s="73"/>
      <c r="I4" s="73"/>
      <c r="J4" s="73"/>
      <c r="K4" s="73"/>
      <c r="L4" s="73"/>
      <c r="M4" s="73"/>
      <c r="N4" s="73">
        <f>F4*N2</f>
        <v>14316</v>
      </c>
      <c r="O4" s="73"/>
      <c r="P4" s="73"/>
      <c r="Q4" s="73"/>
      <c r="R4" s="73"/>
      <c r="S4" s="73"/>
      <c r="T4" s="73">
        <f>F4+N4</f>
        <v>38176</v>
      </c>
      <c r="U4" s="73">
        <v>12</v>
      </c>
      <c r="V4" s="73">
        <f>T4*U4*D4/1000</f>
        <v>458.11200000000002</v>
      </c>
    </row>
    <row r="5" spans="1:24">
      <c r="A5" s="69">
        <v>2</v>
      </c>
      <c r="B5" s="55" t="s">
        <v>212</v>
      </c>
      <c r="C5" s="70"/>
      <c r="D5" s="71">
        <v>1</v>
      </c>
      <c r="E5" s="72"/>
      <c r="F5" s="73">
        <v>21860</v>
      </c>
      <c r="G5" s="73"/>
      <c r="H5" s="73"/>
      <c r="I5" s="73"/>
      <c r="J5" s="73"/>
      <c r="K5" s="73"/>
      <c r="L5" s="73"/>
      <c r="M5" s="73"/>
      <c r="N5" s="73">
        <f>F5*N2</f>
        <v>13116</v>
      </c>
      <c r="O5" s="73"/>
      <c r="P5" s="73"/>
      <c r="Q5" s="73"/>
      <c r="R5" s="73"/>
      <c r="S5" s="73"/>
      <c r="T5" s="73">
        <f t="shared" ref="T5:T7" si="0">F5+N5</f>
        <v>34976</v>
      </c>
      <c r="U5" s="73">
        <v>12</v>
      </c>
      <c r="V5" s="73">
        <f t="shared" ref="V5:V7" si="1">T5*U5*D5/1000</f>
        <v>419.71199999999999</v>
      </c>
      <c r="X5" s="165"/>
    </row>
    <row r="6" spans="1:24">
      <c r="A6" s="69">
        <v>3</v>
      </c>
      <c r="B6" s="55" t="s">
        <v>213</v>
      </c>
      <c r="C6" s="70"/>
      <c r="D6" s="71">
        <v>1</v>
      </c>
      <c r="E6" s="72"/>
      <c r="F6" s="73">
        <v>17813</v>
      </c>
      <c r="G6" s="73"/>
      <c r="H6" s="73"/>
      <c r="I6" s="73"/>
      <c r="J6" s="73"/>
      <c r="K6" s="73"/>
      <c r="L6" s="73"/>
      <c r="M6" s="73"/>
      <c r="N6" s="73">
        <f>F6*N2</f>
        <v>10687.8</v>
      </c>
      <c r="O6" s="73"/>
      <c r="P6" s="73"/>
      <c r="Q6" s="73"/>
      <c r="R6" s="73"/>
      <c r="S6" s="73"/>
      <c r="T6" s="73">
        <f t="shared" si="0"/>
        <v>28500.799999999999</v>
      </c>
      <c r="U6" s="73">
        <v>12</v>
      </c>
      <c r="V6" s="73">
        <f t="shared" si="1"/>
        <v>342.00959999999998</v>
      </c>
    </row>
    <row r="7" spans="1:24">
      <c r="A7" s="69">
        <v>4</v>
      </c>
      <c r="B7" s="55" t="s">
        <v>214</v>
      </c>
      <c r="C7" s="70"/>
      <c r="D7" s="71">
        <v>1</v>
      </c>
      <c r="E7" s="72"/>
      <c r="F7" s="73">
        <v>15000</v>
      </c>
      <c r="G7" s="73"/>
      <c r="H7" s="73"/>
      <c r="I7" s="73"/>
      <c r="J7" s="73"/>
      <c r="K7" s="73"/>
      <c r="L7" s="73"/>
      <c r="M7" s="73"/>
      <c r="N7" s="73">
        <f>F7*N2</f>
        <v>9000</v>
      </c>
      <c r="O7" s="73"/>
      <c r="P7" s="73"/>
      <c r="Q7" s="73"/>
      <c r="R7" s="73"/>
      <c r="S7" s="73"/>
      <c r="T7" s="73">
        <f t="shared" si="0"/>
        <v>24000</v>
      </c>
      <c r="U7" s="73">
        <v>12</v>
      </c>
      <c r="V7" s="73">
        <f t="shared" si="1"/>
        <v>288</v>
      </c>
    </row>
    <row r="8" spans="1:24" hidden="1">
      <c r="A8" s="69">
        <v>5</v>
      </c>
      <c r="B8" s="206"/>
      <c r="C8" s="210"/>
      <c r="D8" s="171"/>
      <c r="E8" s="21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1:24" hidden="1">
      <c r="A9" s="69">
        <v>6</v>
      </c>
      <c r="B9" s="206"/>
      <c r="C9" s="210"/>
      <c r="D9" s="171"/>
      <c r="E9" s="21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X9" s="165"/>
    </row>
    <row r="10" spans="1:24" hidden="1">
      <c r="A10" s="69">
        <v>7</v>
      </c>
      <c r="B10" s="206"/>
      <c r="C10" s="210"/>
      <c r="D10" s="171"/>
      <c r="E10" s="21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</row>
    <row r="11" spans="1:24" hidden="1">
      <c r="A11" s="69">
        <v>8</v>
      </c>
      <c r="B11" s="206"/>
      <c r="C11" s="210"/>
      <c r="D11" s="171"/>
      <c r="E11" s="21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1:24" hidden="1">
      <c r="A12" s="69">
        <v>9</v>
      </c>
      <c r="B12" s="55"/>
      <c r="C12" s="70"/>
      <c r="D12" s="71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73"/>
      <c r="Q12" s="73"/>
      <c r="R12" s="73"/>
      <c r="S12" s="73"/>
      <c r="T12" s="73"/>
      <c r="U12" s="73"/>
      <c r="V12" s="73"/>
    </row>
    <row r="13" spans="1:24" hidden="1">
      <c r="A13" s="69">
        <v>10</v>
      </c>
      <c r="B13" s="55"/>
      <c r="C13" s="70"/>
      <c r="D13" s="71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3"/>
      <c r="Q13" s="73"/>
      <c r="R13" s="73"/>
      <c r="S13" s="73"/>
      <c r="T13" s="73"/>
      <c r="U13" s="73"/>
      <c r="V13" s="73"/>
    </row>
    <row r="14" spans="1:24" hidden="1">
      <c r="A14" s="69">
        <v>11</v>
      </c>
      <c r="B14" s="55"/>
      <c r="C14" s="70"/>
      <c r="D14" s="71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3"/>
      <c r="Q14" s="73"/>
      <c r="R14" s="73"/>
      <c r="S14" s="73"/>
      <c r="T14" s="73"/>
      <c r="U14" s="73"/>
      <c r="V14" s="73"/>
    </row>
    <row r="15" spans="1:24" hidden="1">
      <c r="A15" s="69">
        <v>12</v>
      </c>
      <c r="B15" s="55"/>
      <c r="C15" s="70"/>
      <c r="D15" s="71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3"/>
      <c r="Q15" s="73"/>
      <c r="R15" s="73"/>
      <c r="S15" s="73"/>
      <c r="T15" s="73"/>
      <c r="U15" s="73"/>
      <c r="V15" s="73"/>
    </row>
    <row r="16" spans="1:24" hidden="1">
      <c r="A16" s="69">
        <v>13</v>
      </c>
      <c r="B16" s="206"/>
      <c r="C16" s="70"/>
      <c r="D16" s="171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3"/>
      <c r="Q16" s="73"/>
      <c r="R16" s="73"/>
      <c r="S16" s="73"/>
      <c r="T16" s="73"/>
      <c r="U16" s="73"/>
      <c r="V16" s="73"/>
    </row>
    <row r="17" spans="1:23" hidden="1">
      <c r="A17" s="69">
        <v>14</v>
      </c>
      <c r="B17" s="206"/>
      <c r="C17" s="70"/>
      <c r="D17" s="171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3"/>
      <c r="Q17" s="73"/>
      <c r="R17" s="73"/>
      <c r="S17" s="73"/>
      <c r="T17" s="73"/>
      <c r="U17" s="73"/>
      <c r="V17" s="73"/>
    </row>
    <row r="18" spans="1:23" hidden="1">
      <c r="A18" s="69">
        <v>15</v>
      </c>
      <c r="B18" s="206"/>
      <c r="C18" s="210"/>
      <c r="D18" s="171"/>
      <c r="E18" s="21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1:23" hidden="1">
      <c r="A19" s="69">
        <v>16</v>
      </c>
      <c r="B19" s="55"/>
      <c r="C19" s="70"/>
      <c r="D19" s="71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3"/>
      <c r="Q19" s="73"/>
      <c r="R19" s="73"/>
      <c r="S19" s="73"/>
      <c r="T19" s="73"/>
      <c r="U19" s="73"/>
      <c r="V19" s="73"/>
    </row>
    <row r="20" spans="1:23" hidden="1">
      <c r="A20" s="69">
        <v>17</v>
      </c>
      <c r="B20" s="55"/>
      <c r="C20" s="70"/>
      <c r="D20" s="71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3"/>
      <c r="Q20" s="73"/>
      <c r="R20" s="73"/>
      <c r="S20" s="73"/>
      <c r="T20" s="73"/>
      <c r="U20" s="73"/>
      <c r="V20" s="73"/>
    </row>
    <row r="21" spans="1:23" hidden="1">
      <c r="A21" s="69"/>
      <c r="B21" s="55"/>
      <c r="C21" s="70"/>
      <c r="D21" s="71"/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3"/>
      <c r="Q21" s="73"/>
      <c r="R21" s="73"/>
      <c r="S21" s="73"/>
      <c r="T21" s="73"/>
      <c r="U21" s="73"/>
      <c r="V21" s="73"/>
    </row>
    <row r="22" spans="1:23" hidden="1">
      <c r="A22" s="69"/>
      <c r="B22" s="55"/>
      <c r="C22" s="70"/>
      <c r="D22" s="71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3"/>
      <c r="Q22" s="73"/>
      <c r="R22" s="73"/>
      <c r="S22" s="73"/>
      <c r="T22" s="73"/>
      <c r="U22" s="73"/>
      <c r="V22" s="73"/>
    </row>
    <row r="23" spans="1:23" hidden="1">
      <c r="A23" s="69"/>
      <c r="B23" s="55"/>
      <c r="C23" s="70"/>
      <c r="D23" s="71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3"/>
      <c r="Q23" s="73"/>
      <c r="R23" s="73"/>
      <c r="S23" s="73"/>
      <c r="T23" s="73"/>
      <c r="U23" s="73"/>
      <c r="V23" s="73"/>
    </row>
    <row r="24" spans="1:23" hidden="1">
      <c r="A24" s="69"/>
      <c r="B24" s="55"/>
      <c r="C24" s="70"/>
      <c r="D24" s="71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3"/>
      <c r="Q24" s="73"/>
      <c r="R24" s="73"/>
      <c r="S24" s="73"/>
      <c r="T24" s="73"/>
      <c r="U24" s="73"/>
      <c r="V24" s="73"/>
    </row>
    <row r="25" spans="1:23" hidden="1">
      <c r="A25" s="68"/>
      <c r="C25" s="70"/>
      <c r="D25" s="71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3"/>
      <c r="Q25" s="73"/>
      <c r="R25" s="73"/>
      <c r="S25" s="73"/>
      <c r="T25" s="73"/>
      <c r="U25" s="73"/>
      <c r="V25" s="73"/>
    </row>
    <row r="26" spans="1:23">
      <c r="A26" s="51"/>
      <c r="B26" s="61"/>
      <c r="C26" s="75"/>
      <c r="D26" s="76">
        <f>D4+D5+D6+D7+D12+D13+D14+D15+D19+D20</f>
        <v>4</v>
      </c>
      <c r="E26" s="77"/>
      <c r="F26" s="78"/>
      <c r="G26" s="78"/>
      <c r="H26" s="75"/>
      <c r="I26" s="75"/>
      <c r="J26" s="75"/>
      <c r="K26" s="75"/>
      <c r="L26" s="75"/>
      <c r="M26" s="75"/>
      <c r="N26" s="75"/>
      <c r="O26" s="78"/>
      <c r="P26" s="75"/>
      <c r="Q26" s="75"/>
      <c r="R26" s="75"/>
      <c r="S26" s="75"/>
      <c r="T26" s="75"/>
      <c r="U26" s="75"/>
      <c r="V26" s="79">
        <f>V4+V5+V6+V7+V12+V13+V14+V15+V19+V20</f>
        <v>1507.8335999999999</v>
      </c>
      <c r="W26" s="165"/>
    </row>
    <row r="27" spans="1:23">
      <c r="A27" s="57"/>
      <c r="B27" s="58"/>
      <c r="C27" s="80"/>
      <c r="D27" s="81"/>
      <c r="E27" s="81"/>
      <c r="F27" s="82"/>
      <c r="G27" s="82"/>
      <c r="H27" s="80"/>
      <c r="I27" s="80"/>
      <c r="J27" s="80"/>
      <c r="K27" s="80"/>
      <c r="L27" s="80"/>
      <c r="M27" s="80"/>
      <c r="N27" s="80"/>
      <c r="O27" s="82"/>
      <c r="P27" s="80"/>
      <c r="Q27" s="80"/>
      <c r="R27" s="80"/>
      <c r="S27" s="80"/>
      <c r="T27" s="80"/>
      <c r="U27" s="80"/>
      <c r="V27" s="80"/>
    </row>
    <row r="28" spans="1:23">
      <c r="A28" s="546" t="s">
        <v>144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9"/>
    </row>
    <row r="29" spans="1:23">
      <c r="A29" s="69">
        <v>1</v>
      </c>
      <c r="B29" s="55" t="s">
        <v>306</v>
      </c>
      <c r="C29" s="70"/>
      <c r="D29" s="71">
        <v>1</v>
      </c>
      <c r="E29" s="71"/>
      <c r="F29" s="73">
        <v>13000</v>
      </c>
      <c r="G29" s="73"/>
      <c r="H29" s="73"/>
      <c r="I29" s="73"/>
      <c r="J29" s="73"/>
      <c r="K29" s="73"/>
      <c r="L29" s="73"/>
      <c r="M29" s="73"/>
      <c r="N29" s="73">
        <f>F29*N2</f>
        <v>7800</v>
      </c>
      <c r="O29" s="73"/>
      <c r="P29" s="73"/>
      <c r="Q29" s="73"/>
      <c r="R29" s="73"/>
      <c r="S29" s="73"/>
      <c r="T29" s="73">
        <f>F29+N29</f>
        <v>20800</v>
      </c>
      <c r="U29" s="83">
        <v>12</v>
      </c>
      <c r="V29" s="73">
        <f>T29*U29*D29/1000</f>
        <v>249.6</v>
      </c>
    </row>
    <row r="30" spans="1:23" hidden="1">
      <c r="A30" s="69">
        <v>2</v>
      </c>
      <c r="B30" s="55"/>
      <c r="C30" s="70"/>
      <c r="D30" s="71"/>
      <c r="E30" s="71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83"/>
      <c r="V30" s="73"/>
    </row>
    <row r="31" spans="1:23" hidden="1">
      <c r="A31" s="69">
        <v>3</v>
      </c>
      <c r="B31" s="55"/>
      <c r="C31" s="70"/>
      <c r="D31" s="71"/>
      <c r="E31" s="71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83"/>
      <c r="V31" s="73"/>
    </row>
    <row r="32" spans="1:23" hidden="1">
      <c r="A32" s="69">
        <v>4</v>
      </c>
      <c r="B32" s="55"/>
      <c r="C32" s="70"/>
      <c r="D32" s="71"/>
      <c r="E32" s="71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83"/>
      <c r="V32" s="73"/>
    </row>
    <row r="33" spans="1:22">
      <c r="A33" s="51"/>
      <c r="B33" s="61"/>
      <c r="C33" s="75"/>
      <c r="D33" s="76">
        <f>D29</f>
        <v>1</v>
      </c>
      <c r="E33" s="8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85"/>
      <c r="V33" s="79">
        <f>V29</f>
        <v>249.6</v>
      </c>
    </row>
    <row r="34" spans="1:22">
      <c r="A34" s="62"/>
      <c r="B34" s="63"/>
      <c r="C34" s="86"/>
      <c r="D34" s="87"/>
      <c r="E34" s="87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>
      <c r="A35" s="543" t="s">
        <v>300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79"/>
    </row>
    <row r="36" spans="1:22">
      <c r="A36" s="69">
        <v>1</v>
      </c>
      <c r="B36" s="60" t="s">
        <v>303</v>
      </c>
      <c r="C36" s="70"/>
      <c r="D36" s="71">
        <v>0.5</v>
      </c>
      <c r="E36" s="71">
        <v>78.3</v>
      </c>
      <c r="F36" s="73">
        <v>12842</v>
      </c>
      <c r="G36" s="73">
        <f>F36*0.08</f>
        <v>1027.3600000000001</v>
      </c>
      <c r="H36" s="73"/>
      <c r="I36" s="73"/>
      <c r="J36" s="73"/>
      <c r="K36" s="73"/>
      <c r="L36" s="73">
        <f>F36*0.42</f>
        <v>5393.6399999999994</v>
      </c>
      <c r="M36" s="73"/>
      <c r="N36" s="73"/>
      <c r="O36" s="73"/>
      <c r="P36" s="73"/>
      <c r="Q36" s="73"/>
      <c r="R36" s="73"/>
      <c r="S36" s="73"/>
      <c r="T36" s="73">
        <f>F36+L36+G36</f>
        <v>19263</v>
      </c>
      <c r="U36" s="83">
        <v>12</v>
      </c>
      <c r="V36" s="88">
        <f>T36*U36*D36/1000</f>
        <v>115.578</v>
      </c>
    </row>
    <row r="37" spans="1:22" ht="27" customHeight="1">
      <c r="A37" s="69">
        <v>2</v>
      </c>
      <c r="B37" s="70" t="s">
        <v>304</v>
      </c>
      <c r="C37" s="70"/>
      <c r="D37" s="71">
        <v>4</v>
      </c>
      <c r="E37" s="71">
        <v>78.3</v>
      </c>
      <c r="F37" s="73">
        <v>12842</v>
      </c>
      <c r="G37" s="73"/>
      <c r="H37" s="73"/>
      <c r="I37" s="73"/>
      <c r="J37" s="73"/>
      <c r="K37" s="73"/>
      <c r="L37" s="73">
        <f>F37*0.44</f>
        <v>5650.4800000000005</v>
      </c>
      <c r="M37" s="73"/>
      <c r="N37" s="73"/>
      <c r="O37" s="172"/>
      <c r="P37" s="73"/>
      <c r="Q37" s="73"/>
      <c r="R37" s="73"/>
      <c r="S37" s="73"/>
      <c r="T37" s="73">
        <f>F37+L37</f>
        <v>18492.48</v>
      </c>
      <c r="U37" s="83">
        <v>12</v>
      </c>
      <c r="V37" s="88">
        <f>T37*U37*D37/1000</f>
        <v>887.63904000000002</v>
      </c>
    </row>
    <row r="38" spans="1:22">
      <c r="A38" s="51"/>
      <c r="B38" s="61"/>
      <c r="C38" s="75"/>
      <c r="D38" s="76">
        <f>D36+D37</f>
        <v>4.5</v>
      </c>
      <c r="E38" s="84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85"/>
      <c r="V38" s="79">
        <f>SUM(V36:V37)</f>
        <v>1003.21704</v>
      </c>
    </row>
    <row r="39" spans="1:22">
      <c r="A39" s="62"/>
      <c r="B39" s="63"/>
      <c r="C39" s="86"/>
      <c r="D39" s="184"/>
      <c r="E39" s="87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277"/>
    </row>
    <row r="40" spans="1:22">
      <c r="A40" s="543" t="s">
        <v>301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79"/>
    </row>
    <row r="41" spans="1:22">
      <c r="A41" s="69">
        <v>1</v>
      </c>
      <c r="B41" s="60" t="s">
        <v>302</v>
      </c>
      <c r="C41" s="70"/>
      <c r="D41" s="71">
        <v>2</v>
      </c>
      <c r="E41" s="71">
        <v>78.3</v>
      </c>
      <c r="F41" s="73">
        <v>12842</v>
      </c>
      <c r="G41" s="73">
        <f>F41*0.08</f>
        <v>1027.3600000000001</v>
      </c>
      <c r="H41" s="73"/>
      <c r="I41" s="73"/>
      <c r="J41" s="73"/>
      <c r="K41" s="73"/>
      <c r="L41" s="73">
        <f>F41*0.26</f>
        <v>3338.92</v>
      </c>
      <c r="M41" s="73">
        <f>F41*0.4</f>
        <v>5136.8</v>
      </c>
      <c r="N41" s="73"/>
      <c r="O41" s="73"/>
      <c r="P41" s="73"/>
      <c r="Q41" s="73"/>
      <c r="R41" s="73"/>
      <c r="S41" s="73"/>
      <c r="T41" s="73">
        <f>F41+G41+L41+M41</f>
        <v>22345.079999999998</v>
      </c>
      <c r="U41" s="83">
        <v>12</v>
      </c>
      <c r="V41" s="88">
        <f>T41*U41*D41/1000</f>
        <v>536.2819199999999</v>
      </c>
    </row>
    <row r="42" spans="1:22">
      <c r="A42" s="69">
        <v>2</v>
      </c>
      <c r="B42" s="60" t="s">
        <v>303</v>
      </c>
      <c r="C42" s="70"/>
      <c r="D42" s="71">
        <v>0.5</v>
      </c>
      <c r="E42" s="71">
        <v>78.3</v>
      </c>
      <c r="F42" s="73">
        <v>12842</v>
      </c>
      <c r="G42" s="73">
        <f>F42*0.08</f>
        <v>1027.3600000000001</v>
      </c>
      <c r="H42" s="73"/>
      <c r="I42" s="73"/>
      <c r="J42" s="73"/>
      <c r="K42" s="73"/>
      <c r="L42" s="73">
        <f>F42*0.42</f>
        <v>5393.6399999999994</v>
      </c>
      <c r="M42" s="73"/>
      <c r="N42" s="73"/>
      <c r="O42" s="172"/>
      <c r="P42" s="73"/>
      <c r="Q42" s="73"/>
      <c r="R42" s="73"/>
      <c r="S42" s="73"/>
      <c r="T42" s="73">
        <f>F42+G42+L42</f>
        <v>19263</v>
      </c>
      <c r="U42" s="83">
        <v>12</v>
      </c>
      <c r="V42" s="88">
        <f>T42*U42*D42/1000</f>
        <v>115.578</v>
      </c>
    </row>
    <row r="43" spans="1:22">
      <c r="A43" s="265"/>
      <c r="B43" s="61"/>
      <c r="C43" s="75"/>
      <c r="D43" s="76">
        <f>D41+D42</f>
        <v>2.5</v>
      </c>
      <c r="E43" s="84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85"/>
      <c r="V43" s="79">
        <f>SUM(V41:V42)</f>
        <v>651.85991999999987</v>
      </c>
    </row>
    <row r="44" spans="1:22">
      <c r="A44" s="62"/>
      <c r="B44" s="63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>
      <c r="A45" s="557" t="s">
        <v>126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7"/>
      <c r="U45" s="557"/>
      <c r="V45" s="54"/>
    </row>
    <row r="46" spans="1:22" ht="25.5">
      <c r="A46" s="69">
        <v>1</v>
      </c>
      <c r="B46" s="278" t="s">
        <v>307</v>
      </c>
      <c r="C46" s="89"/>
      <c r="D46" s="72">
        <v>4</v>
      </c>
      <c r="E46" s="71">
        <v>43.02</v>
      </c>
      <c r="F46" s="73">
        <v>7056</v>
      </c>
      <c r="G46" s="73"/>
      <c r="H46" s="73"/>
      <c r="I46" s="73"/>
      <c r="J46" s="73"/>
      <c r="K46" s="73"/>
      <c r="L46" s="73">
        <f>F46*0.153</f>
        <v>1079.568</v>
      </c>
      <c r="M46" s="73">
        <f>F46*0.4</f>
        <v>2822.4</v>
      </c>
      <c r="N46" s="73"/>
      <c r="O46" s="73"/>
      <c r="P46" s="73"/>
      <c r="Q46" s="73"/>
      <c r="R46" s="73"/>
      <c r="S46" s="73"/>
      <c r="T46" s="73">
        <f>F46+L46+M46</f>
        <v>10957.968000000001</v>
      </c>
      <c r="U46" s="73">
        <v>12</v>
      </c>
      <c r="V46" s="73">
        <f>T46*U46*D46/1000</f>
        <v>525.98246400000005</v>
      </c>
    </row>
    <row r="47" spans="1:22" ht="25.5">
      <c r="A47" s="69"/>
      <c r="B47" s="278" t="s">
        <v>308</v>
      </c>
      <c r="C47" s="89"/>
      <c r="D47" s="72">
        <v>4</v>
      </c>
      <c r="E47" s="71">
        <v>43.02</v>
      </c>
      <c r="F47" s="73">
        <v>7056</v>
      </c>
      <c r="G47" s="73"/>
      <c r="H47" s="73"/>
      <c r="I47" s="73"/>
      <c r="J47" s="73"/>
      <c r="K47" s="73"/>
      <c r="L47" s="73">
        <f>F47*0.27</f>
        <v>1905.1200000000001</v>
      </c>
      <c r="M47" s="73">
        <f>F47*0.4</f>
        <v>2822.4</v>
      </c>
      <c r="N47" s="73"/>
      <c r="O47" s="73"/>
      <c r="P47" s="73"/>
      <c r="Q47" s="73"/>
      <c r="R47" s="73"/>
      <c r="S47" s="73"/>
      <c r="T47" s="73">
        <f>F47+L47+M47</f>
        <v>11783.52</v>
      </c>
      <c r="U47" s="73">
        <v>12</v>
      </c>
      <c r="V47" s="73">
        <f>T47*U47*D47/1000</f>
        <v>565.60895999999991</v>
      </c>
    </row>
    <row r="48" spans="1:22">
      <c r="A48" s="51"/>
      <c r="B48" s="61"/>
      <c r="C48" s="65"/>
      <c r="D48" s="66">
        <f>D46+D47</f>
        <v>8</v>
      </c>
      <c r="E48" s="66"/>
      <c r="F48" s="65"/>
      <c r="G48" s="65"/>
      <c r="H48" s="65"/>
      <c r="I48" s="65"/>
      <c r="J48" s="65"/>
      <c r="K48" s="65"/>
      <c r="L48" s="65"/>
      <c r="M48" s="65"/>
      <c r="N48" s="65"/>
      <c r="O48" s="90"/>
      <c r="P48" s="65"/>
      <c r="Q48" s="65"/>
      <c r="R48" s="65"/>
      <c r="S48" s="65"/>
      <c r="T48" s="65"/>
      <c r="U48" s="91"/>
      <c r="V48" s="92">
        <f>SUM(V46:V47)</f>
        <v>1091.591424</v>
      </c>
    </row>
    <row r="49" spans="1:23">
      <c r="A49" s="62"/>
      <c r="B49" s="63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84"/>
      <c r="P49" s="166"/>
      <c r="Q49" s="166"/>
      <c r="R49" s="166"/>
      <c r="S49" s="166"/>
      <c r="T49" s="166"/>
      <c r="U49" s="185"/>
      <c r="V49" s="185"/>
    </row>
    <row r="50" spans="1:23">
      <c r="A50" s="557" t="s">
        <v>196</v>
      </c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4"/>
    </row>
    <row r="51" spans="1:23" ht="25.5">
      <c r="A51" s="69">
        <v>1</v>
      </c>
      <c r="B51" s="278" t="s">
        <v>309</v>
      </c>
      <c r="C51" s="89"/>
      <c r="D51" s="72">
        <v>8</v>
      </c>
      <c r="E51" s="71">
        <v>43.02</v>
      </c>
      <c r="F51" s="73">
        <v>7056</v>
      </c>
      <c r="G51" s="73">
        <f>F51*0.08</f>
        <v>564.48</v>
      </c>
      <c r="H51" s="73"/>
      <c r="I51" s="73"/>
      <c r="J51" s="73"/>
      <c r="K51" s="73"/>
      <c r="L51" s="73">
        <f>F51*0.4</f>
        <v>2822.4</v>
      </c>
      <c r="M51" s="73">
        <f>F51*0.41</f>
        <v>2892.96</v>
      </c>
      <c r="N51" s="73"/>
      <c r="O51" s="73"/>
      <c r="P51" s="73"/>
      <c r="Q51" s="73"/>
      <c r="R51" s="73"/>
      <c r="S51" s="73"/>
      <c r="T51" s="73">
        <f>F51+G51+L51+M51</f>
        <v>13335.84</v>
      </c>
      <c r="U51" s="73">
        <v>12</v>
      </c>
      <c r="V51" s="73">
        <f>T51*U51*D51/1000</f>
        <v>1280.2406400000002</v>
      </c>
    </row>
    <row r="52" spans="1:23">
      <c r="A52" s="180"/>
      <c r="B52" s="61"/>
      <c r="C52" s="65"/>
      <c r="D52" s="66"/>
      <c r="E52" s="66"/>
      <c r="F52" s="65"/>
      <c r="G52" s="65"/>
      <c r="H52" s="65"/>
      <c r="I52" s="65"/>
      <c r="J52" s="65"/>
      <c r="K52" s="65"/>
      <c r="L52" s="65"/>
      <c r="M52" s="65"/>
      <c r="N52" s="65"/>
      <c r="O52" s="90"/>
      <c r="P52" s="65"/>
      <c r="Q52" s="65"/>
      <c r="R52" s="65"/>
      <c r="S52" s="65"/>
      <c r="T52" s="65"/>
      <c r="U52" s="91"/>
      <c r="V52" s="92">
        <f>V51</f>
        <v>1280.2406400000002</v>
      </c>
    </row>
    <row r="53" spans="1:23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hidden="1">
      <c r="A54" s="62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86"/>
      <c r="P54" s="64"/>
      <c r="Q54" s="64"/>
      <c r="R54" s="64"/>
      <c r="S54" s="64"/>
      <c r="T54" s="64"/>
      <c r="U54" s="86"/>
      <c r="V54" s="86"/>
    </row>
    <row r="55" spans="1:23">
      <c r="A55" s="557" t="s">
        <v>175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4"/>
    </row>
    <row r="56" spans="1:23">
      <c r="A56" s="69">
        <v>1</v>
      </c>
      <c r="B56" s="55"/>
      <c r="C56" s="89"/>
      <c r="D56" s="171"/>
      <c r="E56" s="71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</row>
    <row r="57" spans="1:23">
      <c r="A57" s="69">
        <v>2</v>
      </c>
      <c r="B57" s="55"/>
      <c r="C57" s="89"/>
      <c r="D57" s="71"/>
      <c r="E57" s="71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</row>
    <row r="58" spans="1:23" hidden="1">
      <c r="A58" s="69">
        <v>3</v>
      </c>
      <c r="B58" s="55"/>
      <c r="C58" s="89"/>
      <c r="D58" s="71"/>
      <c r="E58" s="71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4"/>
    </row>
    <row r="59" spans="1:23" hidden="1">
      <c r="A59" s="69">
        <v>4</v>
      </c>
      <c r="B59" s="55"/>
      <c r="C59" s="89"/>
      <c r="D59" s="71"/>
      <c r="E59" s="71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4"/>
    </row>
    <row r="60" spans="1:23" hidden="1">
      <c r="A60" s="69">
        <v>5</v>
      </c>
      <c r="B60" s="55"/>
      <c r="C60" s="89"/>
      <c r="D60" s="71"/>
      <c r="E60" s="71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4"/>
    </row>
    <row r="61" spans="1:23">
      <c r="A61" s="51"/>
      <c r="B61" s="61"/>
      <c r="C61" s="95"/>
      <c r="D61" s="66"/>
      <c r="E61" s="96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54"/>
    </row>
    <row r="62" spans="1:23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3" hidden="1">
      <c r="A63" s="557" t="s">
        <v>176</v>
      </c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7"/>
      <c r="U63" s="557"/>
      <c r="V63" s="54"/>
    </row>
    <row r="64" spans="1:23" hidden="1">
      <c r="A64" s="69">
        <v>1</v>
      </c>
      <c r="B64" s="55" t="s">
        <v>177</v>
      </c>
      <c r="C64" s="89"/>
      <c r="D64" s="71"/>
      <c r="E64" s="71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>
        <v>2963</v>
      </c>
      <c r="S64" s="93"/>
      <c r="T64" s="93">
        <f>F64+R64</f>
        <v>2963</v>
      </c>
      <c r="U64" s="93">
        <v>12</v>
      </c>
      <c r="V64" s="94">
        <f>T64*U64*D64/1000</f>
        <v>0</v>
      </c>
    </row>
    <row r="65" spans="1:25" hidden="1">
      <c r="A65" s="69"/>
      <c r="B65" s="55"/>
      <c r="C65" s="89"/>
      <c r="D65" s="71"/>
      <c r="E65" s="71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4"/>
    </row>
    <row r="66" spans="1:25" hidden="1">
      <c r="A66" s="69">
        <v>3</v>
      </c>
      <c r="B66" s="55"/>
      <c r="C66" s="89"/>
      <c r="D66" s="71"/>
      <c r="E66" s="71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4"/>
    </row>
    <row r="67" spans="1:25" hidden="1">
      <c r="A67" s="69">
        <v>4</v>
      </c>
      <c r="B67" s="55"/>
      <c r="C67" s="89"/>
      <c r="D67" s="71"/>
      <c r="E67" s="71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4"/>
    </row>
    <row r="68" spans="1:25" hidden="1">
      <c r="A68" s="69">
        <v>5</v>
      </c>
      <c r="B68" s="55"/>
      <c r="C68" s="89"/>
      <c r="D68" s="71"/>
      <c r="E68" s="71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4"/>
    </row>
    <row r="69" spans="1:25" hidden="1">
      <c r="A69" s="51"/>
      <c r="B69" s="61"/>
      <c r="C69" s="95"/>
      <c r="D69" s="66"/>
      <c r="E69" s="96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54">
        <f>SUM(V64:V68)</f>
        <v>0</v>
      </c>
    </row>
    <row r="70" spans="1:25">
      <c r="A70" s="62"/>
      <c r="B70" s="63"/>
      <c r="C70" s="64"/>
      <c r="D70" s="166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167"/>
      <c r="W70" s="112"/>
    </row>
    <row r="71" spans="1:25" ht="41.25" customHeight="1" thickBot="1">
      <c r="A71" s="62"/>
      <c r="B71" s="560" t="s">
        <v>294</v>
      </c>
      <c r="C71" s="560"/>
      <c r="D71" s="560"/>
      <c r="E71" s="560"/>
      <c r="F71" s="560"/>
      <c r="G71" s="266"/>
      <c r="H71" s="267"/>
      <c r="I71" s="267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167"/>
      <c r="W71" s="112"/>
    </row>
    <row r="72" spans="1:25" ht="51" thickTop="1" thickBot="1">
      <c r="A72" s="62"/>
      <c r="B72" s="268" t="s">
        <v>295</v>
      </c>
      <c r="C72" s="268" t="s">
        <v>296</v>
      </c>
      <c r="D72" s="268" t="s">
        <v>297</v>
      </c>
      <c r="E72" s="269" t="s">
        <v>310</v>
      </c>
      <c r="F72" s="268"/>
      <c r="G72" s="268"/>
      <c r="H72" s="270" t="s">
        <v>298</v>
      </c>
      <c r="I72" s="271" t="s">
        <v>299</v>
      </c>
      <c r="J72" s="64"/>
      <c r="K72" s="64"/>
      <c r="L72" s="197" t="s">
        <v>197</v>
      </c>
      <c r="M72" s="198" t="s">
        <v>198</v>
      </c>
      <c r="N72" s="563" t="s">
        <v>124</v>
      </c>
      <c r="O72" s="64"/>
      <c r="P72" s="64"/>
      <c r="Q72" s="64"/>
      <c r="R72" s="64"/>
      <c r="S72" s="64"/>
      <c r="T72" s="268" t="s">
        <v>295</v>
      </c>
      <c r="U72" s="268" t="s">
        <v>296</v>
      </c>
      <c r="V72" s="268" t="s">
        <v>297</v>
      </c>
      <c r="W72" s="269"/>
      <c r="X72" s="197" t="s">
        <v>197</v>
      </c>
      <c r="Y72" s="198" t="s">
        <v>198</v>
      </c>
    </row>
    <row r="73" spans="1:25" ht="18" thickTop="1" thickBot="1">
      <c r="A73" s="62"/>
      <c r="B73" s="272">
        <f>C73+D73+E73</f>
        <v>3279.992064</v>
      </c>
      <c r="C73" s="273">
        <f>V48</f>
        <v>1091.591424</v>
      </c>
      <c r="D73" s="273">
        <f>V52</f>
        <v>1280.2406400000002</v>
      </c>
      <c r="E73" s="274">
        <v>908.16</v>
      </c>
      <c r="F73" s="274"/>
      <c r="G73" s="274"/>
      <c r="H73" s="275">
        <f>C73/B73</f>
        <v>0.33280306863571729</v>
      </c>
      <c r="I73" s="276">
        <f>D73/B73</f>
        <v>0.3903182126723585</v>
      </c>
      <c r="J73" s="64"/>
      <c r="K73" s="64"/>
      <c r="L73" s="207">
        <f>C73/B73</f>
        <v>0.33280306863571729</v>
      </c>
      <c r="M73" s="208">
        <f>D73/B73</f>
        <v>0.3903182126723585</v>
      </c>
      <c r="N73" s="563"/>
      <c r="O73" s="64"/>
      <c r="P73" s="64"/>
      <c r="Q73" s="64"/>
      <c r="R73" s="64"/>
      <c r="S73" s="64"/>
      <c r="T73" s="272">
        <f>U73+V73+W73</f>
        <v>2371.8320640000002</v>
      </c>
      <c r="U73" s="273">
        <f>V48</f>
        <v>1091.591424</v>
      </c>
      <c r="V73" s="273">
        <f>V52</f>
        <v>1280.2406400000002</v>
      </c>
      <c r="W73" s="274"/>
      <c r="X73" s="207">
        <f>U73/T73</f>
        <v>0.46023132943024414</v>
      </c>
      <c r="Y73" s="208">
        <f>V73/T73</f>
        <v>0.53976867056975586</v>
      </c>
    </row>
    <row r="74" spans="1:25" ht="18" thickTop="1" thickBot="1">
      <c r="A74" s="52"/>
      <c r="B74" s="97"/>
      <c r="C74" s="97"/>
      <c r="D74" s="97"/>
      <c r="E74" s="209"/>
      <c r="F74" s="209"/>
      <c r="G74" s="64"/>
      <c r="H74" s="97"/>
      <c r="I74" s="97"/>
      <c r="J74" s="97"/>
      <c r="K74" s="98"/>
      <c r="L74" s="105"/>
      <c r="M74" s="105"/>
      <c r="N74" s="98"/>
      <c r="O74" s="52"/>
      <c r="P74" s="68"/>
      <c r="Q74" s="68"/>
      <c r="R74" s="68"/>
      <c r="S74" s="68"/>
      <c r="T74" s="68"/>
      <c r="U74" s="101"/>
      <c r="V74" s="102"/>
      <c r="W74" s="103"/>
      <c r="X74" s="104"/>
      <c r="Y74" s="102"/>
    </row>
    <row r="75" spans="1:25" ht="17.25" thickBot="1">
      <c r="A75" s="556"/>
      <c r="B75" s="561" t="s">
        <v>201</v>
      </c>
      <c r="C75" s="562"/>
      <c r="D75" s="97"/>
      <c r="E75" s="561" t="s">
        <v>202</v>
      </c>
      <c r="F75" s="562"/>
      <c r="G75" s="64"/>
      <c r="H75" s="97"/>
      <c r="I75" s="97"/>
      <c r="J75" s="100"/>
      <c r="K75" s="99"/>
      <c r="L75" s="108"/>
      <c r="M75" s="108"/>
      <c r="N75" s="99"/>
      <c r="O75" s="52"/>
      <c r="P75" s="52"/>
      <c r="Q75" s="52"/>
      <c r="R75" s="52"/>
      <c r="S75" s="52"/>
      <c r="T75" s="52"/>
      <c r="U75" s="52"/>
      <c r="V75" s="52"/>
    </row>
    <row r="76" spans="1:25" hidden="1">
      <c r="A76" s="556"/>
      <c r="B76" s="97"/>
      <c r="C76" s="97"/>
      <c r="D76" s="97"/>
      <c r="E76" s="97"/>
      <c r="F76" s="97"/>
      <c r="G76" s="64"/>
      <c r="H76" s="97"/>
      <c r="I76" s="97"/>
      <c r="J76" s="97"/>
      <c r="K76" s="68"/>
      <c r="L76" s="68"/>
      <c r="M76" s="68"/>
      <c r="N76" s="68"/>
      <c r="O76" s="52"/>
      <c r="P76" s="68"/>
      <c r="Q76" s="68"/>
      <c r="R76" s="68"/>
      <c r="S76" s="68"/>
      <c r="T76" s="68"/>
      <c r="U76" s="52"/>
      <c r="V76" s="52"/>
    </row>
    <row r="77" spans="1:25">
      <c r="A77" s="179"/>
      <c r="B77" s="97"/>
      <c r="C77" s="97"/>
      <c r="D77" s="97"/>
      <c r="E77" s="97"/>
      <c r="F77" s="97"/>
      <c r="G77" s="64"/>
      <c r="H77" s="97"/>
      <c r="I77" s="97"/>
      <c r="J77" s="97"/>
      <c r="K77" s="68"/>
      <c r="L77" s="68"/>
      <c r="M77" s="68"/>
      <c r="N77" s="68"/>
      <c r="O77" s="52"/>
      <c r="P77" s="68"/>
      <c r="Q77" s="68"/>
      <c r="R77" s="68"/>
      <c r="S77" s="68"/>
      <c r="T77" s="68"/>
      <c r="U77" s="52"/>
      <c r="V77" s="52"/>
    </row>
    <row r="78" spans="1:25" s="112" customFormat="1">
      <c r="A78" s="109"/>
      <c r="B78" s="106" t="s">
        <v>145</v>
      </c>
      <c r="C78" s="107">
        <f>V26*L73</f>
        <v>501.81164907204067</v>
      </c>
      <c r="D78" s="106"/>
      <c r="E78" s="106" t="s">
        <v>146</v>
      </c>
      <c r="F78" s="107">
        <f>D26*L73</f>
        <v>1.3312122745428692</v>
      </c>
      <c r="G78" s="64"/>
      <c r="H78" s="111"/>
      <c r="I78" s="111"/>
      <c r="J78" s="111"/>
      <c r="O78" s="56"/>
      <c r="U78" s="56"/>
      <c r="V78" s="56"/>
    </row>
    <row r="79" spans="1:25" s="112" customFormat="1">
      <c r="A79" s="109"/>
      <c r="B79" s="106" t="s">
        <v>147</v>
      </c>
      <c r="C79" s="107">
        <f>V26*M73</f>
        <v>588.53491575932787</v>
      </c>
      <c r="D79" s="106"/>
      <c r="E79" s="106" t="s">
        <v>148</v>
      </c>
      <c r="F79" s="107">
        <f>D26*M73</f>
        <v>1.561272850689434</v>
      </c>
      <c r="G79" s="64"/>
      <c r="H79" s="111"/>
      <c r="I79" s="111"/>
      <c r="J79" s="111"/>
      <c r="K79" s="150"/>
      <c r="L79" s="56"/>
      <c r="M79" s="56"/>
      <c r="N79" s="56"/>
      <c r="O79" s="56"/>
      <c r="U79" s="56"/>
      <c r="V79" s="56"/>
    </row>
    <row r="80" spans="1:25" s="112" customFormat="1" hidden="1">
      <c r="A80" s="109"/>
      <c r="B80" s="115"/>
      <c r="C80" s="116"/>
      <c r="D80" s="115"/>
      <c r="E80" s="115"/>
      <c r="F80" s="116"/>
      <c r="G80" s="64"/>
      <c r="H80" s="111"/>
      <c r="I80" s="111"/>
      <c r="J80" s="111"/>
      <c r="K80" s="56"/>
      <c r="L80" s="56"/>
      <c r="M80" s="56"/>
      <c r="N80" s="56"/>
      <c r="O80" s="56"/>
      <c r="U80" s="56"/>
      <c r="V80" s="56"/>
    </row>
    <row r="81" spans="1:22" s="112" customFormat="1">
      <c r="A81" s="109"/>
      <c r="B81" s="115"/>
      <c r="C81" s="116"/>
      <c r="D81" s="115"/>
      <c r="E81" s="115"/>
      <c r="F81" s="116"/>
      <c r="G81" s="64"/>
      <c r="H81" s="111"/>
      <c r="I81" s="111"/>
      <c r="J81" s="111"/>
      <c r="K81" s="56"/>
      <c r="L81" s="56"/>
      <c r="M81" s="56"/>
      <c r="N81" s="56"/>
      <c r="O81" s="56"/>
      <c r="U81" s="56"/>
      <c r="V81" s="56"/>
    </row>
    <row r="82" spans="1:22" s="112" customFormat="1">
      <c r="A82" s="109"/>
      <c r="B82" s="186" t="s">
        <v>199</v>
      </c>
      <c r="C82" s="187">
        <f>V36</f>
        <v>115.578</v>
      </c>
      <c r="D82" s="188"/>
      <c r="E82" s="189" t="s">
        <v>146</v>
      </c>
      <c r="F82" s="187">
        <f>D36</f>
        <v>0.5</v>
      </c>
      <c r="G82" s="64"/>
      <c r="H82" s="111"/>
      <c r="I82" s="113"/>
      <c r="J82" s="111"/>
      <c r="K82" s="150"/>
      <c r="L82" s="114"/>
      <c r="M82" s="56"/>
      <c r="N82" s="56"/>
      <c r="O82" s="56"/>
      <c r="U82" s="56"/>
      <c r="V82" s="56"/>
    </row>
    <row r="83" spans="1:22" s="112" customFormat="1">
      <c r="A83" s="109"/>
      <c r="B83" s="186" t="s">
        <v>200</v>
      </c>
      <c r="C83" s="187">
        <f>V37</f>
        <v>887.63904000000002</v>
      </c>
      <c r="D83" s="188"/>
      <c r="E83" s="189" t="s">
        <v>148</v>
      </c>
      <c r="F83" s="187">
        <f>D37</f>
        <v>4</v>
      </c>
      <c r="G83" s="64"/>
      <c r="H83" s="111"/>
      <c r="I83" s="111"/>
      <c r="J83" s="111"/>
      <c r="K83" s="56"/>
      <c r="L83" s="56"/>
      <c r="M83" s="56"/>
      <c r="N83" s="56"/>
      <c r="O83" s="56"/>
      <c r="U83" s="56"/>
      <c r="V83" s="56"/>
    </row>
    <row r="84" spans="1:22" s="112" customFormat="1" hidden="1">
      <c r="A84" s="109"/>
      <c r="B84" s="190"/>
      <c r="C84" s="191"/>
      <c r="D84" s="192"/>
      <c r="E84" s="192"/>
      <c r="F84" s="191"/>
      <c r="G84" s="64"/>
      <c r="H84" s="111"/>
      <c r="I84" s="111"/>
      <c r="J84" s="111"/>
      <c r="K84" s="56"/>
      <c r="L84" s="56"/>
      <c r="M84" s="56"/>
      <c r="N84" s="56"/>
      <c r="O84" s="56"/>
      <c r="U84" s="56"/>
      <c r="V84" s="56"/>
    </row>
    <row r="85" spans="1:22" s="112" customFormat="1">
      <c r="A85" s="109"/>
      <c r="B85" s="190"/>
      <c r="C85" s="191"/>
      <c r="D85" s="192"/>
      <c r="E85" s="192"/>
      <c r="F85" s="191"/>
      <c r="G85" s="64"/>
      <c r="H85" s="111"/>
      <c r="I85" s="111"/>
      <c r="J85" s="111"/>
      <c r="K85" s="56"/>
      <c r="L85" s="56"/>
      <c r="M85" s="56"/>
      <c r="N85" s="56"/>
      <c r="O85" s="56"/>
      <c r="U85" s="56"/>
      <c r="V85" s="56"/>
    </row>
    <row r="86" spans="1:22">
      <c r="A86" s="52"/>
      <c r="B86" s="193" t="s">
        <v>215</v>
      </c>
      <c r="C86" s="194">
        <f>V33*X73</f>
        <v>114.87373982578893</v>
      </c>
      <c r="D86" s="195"/>
      <c r="E86" s="196" t="s">
        <v>146</v>
      </c>
      <c r="F86" s="194">
        <f>D33*X73</f>
        <v>0.46023132943024414</v>
      </c>
      <c r="G86" s="64"/>
      <c r="H86" s="97"/>
      <c r="I86" s="97"/>
      <c r="J86" s="97"/>
      <c r="K86" s="52"/>
      <c r="L86" s="52"/>
      <c r="M86" s="52"/>
      <c r="N86" s="52"/>
      <c r="O86" s="52"/>
      <c r="P86" s="68"/>
      <c r="Q86" s="68"/>
      <c r="R86" s="68"/>
      <c r="S86" s="68"/>
      <c r="T86" s="68"/>
      <c r="U86" s="52"/>
      <c r="V86" s="52"/>
    </row>
    <row r="87" spans="1:22" ht="15.75">
      <c r="A87" s="56"/>
      <c r="B87" s="193" t="s">
        <v>216</v>
      </c>
      <c r="C87" s="194">
        <f>V33*Y73</f>
        <v>134.72626017421106</v>
      </c>
      <c r="D87" s="195"/>
      <c r="E87" s="196" t="s">
        <v>148</v>
      </c>
      <c r="F87" s="194">
        <f>D33*Y73</f>
        <v>0.53976867056975586</v>
      </c>
      <c r="G87" s="64"/>
      <c r="H87" s="56"/>
      <c r="I87" s="52"/>
      <c r="J87" s="119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spans="1:22">
      <c r="A88" s="56"/>
      <c r="B88" s="52"/>
      <c r="C88" s="52"/>
      <c r="D88" s="52"/>
      <c r="E88" s="52"/>
      <c r="F88" s="52"/>
      <c r="G88" s="120"/>
      <c r="H88" s="56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spans="1:22" ht="26.25">
      <c r="A89" s="56"/>
      <c r="B89" s="117"/>
      <c r="C89" s="120"/>
      <c r="D89" s="118"/>
      <c r="E89" s="110"/>
      <c r="F89" s="120"/>
      <c r="G89" s="120"/>
      <c r="H89" s="56"/>
      <c r="I89" s="121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spans="1:22">
      <c r="A90" s="122"/>
      <c r="B90" s="112"/>
      <c r="C90" s="123"/>
      <c r="D90" s="123"/>
      <c r="E90" s="123"/>
      <c r="F90" s="123"/>
      <c r="G90" s="123"/>
      <c r="H90" s="123"/>
    </row>
    <row r="91" spans="1:22" s="126" customFormat="1">
      <c r="A91" s="125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</row>
    <row r="92" spans="1:22" s="126" customFormat="1">
      <c r="A92" s="128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1:22" s="126" customFormat="1">
      <c r="A93" s="130"/>
      <c r="B93" s="131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</row>
    <row r="94" spans="1:22" s="126" customFormat="1">
      <c r="A94" s="130"/>
      <c r="B94" s="131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</row>
    <row r="95" spans="1:22" s="126" customFormat="1">
      <c r="A95" s="130"/>
      <c r="B95" s="131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</row>
    <row r="96" spans="1:22" s="126" customFormat="1">
      <c r="A96" s="130"/>
      <c r="B96" s="131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</row>
    <row r="97" spans="1:21" s="126" customFormat="1">
      <c r="A97" s="130"/>
      <c r="B97" s="131"/>
      <c r="C97" s="129"/>
      <c r="D97" s="132"/>
      <c r="E97" s="132"/>
      <c r="F97" s="132"/>
      <c r="G97" s="132"/>
      <c r="H97" s="132"/>
      <c r="I97" s="133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1:21" s="126" customFormat="1">
      <c r="A98" s="130"/>
      <c r="B98" s="134"/>
      <c r="C98" s="134"/>
      <c r="D98" s="13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29"/>
      <c r="U98" s="129"/>
    </row>
    <row r="99" spans="1:21" s="126" customFormat="1">
      <c r="A99" s="130"/>
      <c r="B99" s="134"/>
      <c r="C99" s="134"/>
      <c r="D99" s="135"/>
      <c r="E99" s="136"/>
      <c r="F99" s="136"/>
      <c r="G99" s="136"/>
      <c r="H99" s="136"/>
      <c r="I99" s="136"/>
      <c r="J99" s="135"/>
      <c r="K99" s="136"/>
      <c r="L99" s="136"/>
      <c r="M99" s="136"/>
      <c r="N99" s="136"/>
      <c r="O99" s="127"/>
      <c r="P99" s="136"/>
      <c r="Q99" s="127"/>
      <c r="R99" s="135"/>
      <c r="S99" s="127"/>
      <c r="T99" s="129"/>
      <c r="U99" s="129"/>
    </row>
    <row r="100" spans="1:21" s="126" customFormat="1">
      <c r="A100" s="131"/>
      <c r="B100" s="131"/>
      <c r="C100" s="129"/>
      <c r="D100" s="129"/>
      <c r="E100" s="137"/>
      <c r="F100" s="129"/>
      <c r="G100" s="129"/>
      <c r="H100" s="138"/>
      <c r="I100" s="138"/>
      <c r="J100" s="138"/>
      <c r="K100" s="129"/>
      <c r="L100" s="129"/>
      <c r="M100" s="129"/>
      <c r="N100" s="129"/>
      <c r="O100" s="127"/>
      <c r="P100" s="138"/>
      <c r="Q100" s="127"/>
      <c r="R100" s="138"/>
      <c r="S100" s="127"/>
      <c r="T100" s="129"/>
      <c r="U100" s="129"/>
    </row>
    <row r="101" spans="1:21" s="126" customFormat="1">
      <c r="A101" s="131"/>
      <c r="C101" s="129"/>
      <c r="D101" s="129"/>
      <c r="E101" s="137"/>
      <c r="F101" s="129"/>
      <c r="G101" s="129"/>
      <c r="H101" s="138"/>
      <c r="I101" s="138"/>
      <c r="J101" s="138"/>
      <c r="K101" s="129"/>
      <c r="L101" s="129"/>
      <c r="M101" s="129"/>
      <c r="N101" s="129"/>
      <c r="O101" s="127"/>
      <c r="P101" s="138"/>
      <c r="Q101" s="127"/>
      <c r="R101" s="138"/>
      <c r="S101" s="127"/>
      <c r="T101" s="129"/>
      <c r="U101" s="129"/>
    </row>
    <row r="102" spans="1:21" s="126" customFormat="1">
      <c r="A102" s="131"/>
      <c r="C102" s="129"/>
      <c r="D102" s="129"/>
      <c r="E102" s="137"/>
      <c r="F102" s="129"/>
      <c r="G102" s="129"/>
      <c r="H102" s="138"/>
      <c r="I102" s="138"/>
      <c r="J102" s="138"/>
      <c r="K102" s="129"/>
      <c r="L102" s="129"/>
      <c r="M102" s="129"/>
      <c r="N102" s="129"/>
      <c r="O102" s="127"/>
      <c r="P102" s="138"/>
      <c r="Q102" s="127"/>
      <c r="R102" s="138"/>
      <c r="S102" s="127"/>
      <c r="T102" s="129"/>
      <c r="U102" s="129"/>
    </row>
    <row r="103" spans="1:21" s="126" customFormat="1">
      <c r="A103" s="131"/>
      <c r="C103" s="129"/>
      <c r="D103" s="129"/>
      <c r="E103" s="137"/>
      <c r="F103" s="129"/>
      <c r="G103" s="129"/>
      <c r="H103" s="138"/>
      <c r="I103" s="138"/>
      <c r="J103" s="138"/>
      <c r="K103" s="129"/>
      <c r="L103" s="129"/>
      <c r="M103" s="129"/>
      <c r="N103" s="129"/>
      <c r="O103" s="127"/>
      <c r="P103" s="138"/>
      <c r="Q103" s="127"/>
      <c r="R103" s="138"/>
      <c r="S103" s="127"/>
      <c r="T103" s="133"/>
      <c r="U103" s="133"/>
    </row>
    <row r="104" spans="1:21" s="126" customFormat="1">
      <c r="A104" s="131"/>
      <c r="C104" s="129"/>
      <c r="D104" s="129"/>
      <c r="E104" s="137"/>
      <c r="F104" s="129"/>
      <c r="G104" s="129"/>
      <c r="H104" s="138"/>
      <c r="I104" s="138"/>
      <c r="J104" s="138"/>
      <c r="K104" s="129"/>
      <c r="L104" s="129"/>
      <c r="M104" s="129"/>
      <c r="N104" s="129"/>
      <c r="O104" s="127"/>
      <c r="P104" s="138"/>
      <c r="Q104" s="127"/>
      <c r="R104" s="138"/>
      <c r="S104" s="127"/>
      <c r="T104" s="139"/>
      <c r="U104" s="139"/>
    </row>
    <row r="105" spans="1:21" s="126" customFormat="1">
      <c r="A105" s="140"/>
      <c r="B105" s="140"/>
      <c r="C105" s="133"/>
      <c r="D105" s="133"/>
      <c r="E105" s="137"/>
      <c r="F105" s="133"/>
      <c r="G105" s="133"/>
      <c r="H105" s="133"/>
      <c r="I105" s="133"/>
      <c r="J105" s="139"/>
      <c r="K105" s="133"/>
      <c r="L105" s="133"/>
      <c r="M105" s="133"/>
      <c r="N105" s="133"/>
      <c r="O105" s="127"/>
      <c r="P105" s="133"/>
      <c r="Q105" s="127"/>
      <c r="R105" s="139"/>
      <c r="S105" s="127"/>
      <c r="T105" s="139"/>
      <c r="U105" s="139"/>
    </row>
    <row r="106" spans="1:21" s="126" customFormat="1">
      <c r="A106" s="140"/>
      <c r="B106" s="140"/>
      <c r="C106" s="133"/>
      <c r="D106" s="133"/>
      <c r="E106" s="137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9"/>
      <c r="R106" s="139"/>
      <c r="S106" s="133"/>
      <c r="T106" s="139"/>
      <c r="U106" s="139"/>
    </row>
    <row r="107" spans="1:21" s="126" customFormat="1">
      <c r="A107" s="131"/>
      <c r="B107" s="141"/>
      <c r="C107" s="129"/>
      <c r="D107" s="133"/>
      <c r="E107" s="132"/>
      <c r="F107" s="132"/>
      <c r="G107" s="132"/>
      <c r="H107" s="132"/>
      <c r="I107" s="132"/>
      <c r="J107" s="132"/>
      <c r="K107" s="133"/>
      <c r="L107" s="133"/>
      <c r="M107" s="133"/>
      <c r="N107" s="133"/>
      <c r="O107" s="129"/>
      <c r="P107" s="129"/>
      <c r="Q107" s="129"/>
      <c r="R107" s="129"/>
      <c r="S107" s="129"/>
      <c r="T107" s="139"/>
      <c r="U107" s="139"/>
    </row>
    <row r="108" spans="1:21" s="126" customFormat="1">
      <c r="A108" s="131"/>
      <c r="B108" s="142"/>
      <c r="C108" s="129"/>
      <c r="D108" s="143"/>
      <c r="E108" s="136"/>
      <c r="F108" s="136"/>
      <c r="G108" s="136"/>
      <c r="H108" s="136"/>
      <c r="I108" s="136"/>
      <c r="J108" s="135"/>
      <c r="K108" s="136"/>
      <c r="L108" s="136"/>
      <c r="M108" s="136"/>
      <c r="N108" s="136"/>
      <c r="O108" s="129"/>
      <c r="P108" s="129"/>
      <c r="Q108" s="129"/>
      <c r="R108" s="129"/>
      <c r="S108" s="129"/>
      <c r="T108" s="139"/>
      <c r="U108" s="139"/>
    </row>
    <row r="109" spans="1:21" s="126" customFormat="1">
      <c r="A109" s="131"/>
      <c r="C109" s="129"/>
      <c r="D109" s="129"/>
      <c r="E109" s="138"/>
      <c r="F109" s="129"/>
      <c r="G109" s="129"/>
      <c r="H109" s="138"/>
      <c r="I109" s="138"/>
      <c r="J109" s="138"/>
      <c r="K109" s="138"/>
      <c r="L109" s="138"/>
      <c r="M109" s="138"/>
      <c r="N109" s="138"/>
      <c r="O109" s="129"/>
      <c r="P109" s="129"/>
      <c r="Q109" s="138"/>
      <c r="R109" s="138"/>
      <c r="S109" s="138"/>
      <c r="T109" s="138"/>
      <c r="U109" s="138"/>
    </row>
    <row r="110" spans="1:21" s="126" customFormat="1">
      <c r="A110" s="131"/>
      <c r="C110" s="129"/>
      <c r="D110" s="129"/>
      <c r="E110" s="138"/>
      <c r="F110" s="129"/>
      <c r="G110" s="129"/>
      <c r="H110" s="138"/>
      <c r="I110" s="138"/>
      <c r="J110" s="138"/>
      <c r="K110" s="138"/>
      <c r="L110" s="138"/>
      <c r="M110" s="138"/>
      <c r="N110" s="138"/>
      <c r="O110" s="129"/>
      <c r="P110" s="129"/>
      <c r="Q110" s="138"/>
      <c r="R110" s="138"/>
      <c r="S110" s="138"/>
      <c r="T110" s="138"/>
      <c r="U110" s="138"/>
    </row>
    <row r="111" spans="1:21" s="126" customFormat="1">
      <c r="A111" s="131"/>
      <c r="B111" s="142"/>
      <c r="C111" s="129"/>
      <c r="D111" s="129"/>
      <c r="E111" s="138"/>
      <c r="F111" s="129"/>
      <c r="G111" s="129"/>
      <c r="H111" s="138"/>
      <c r="I111" s="138"/>
      <c r="J111" s="138"/>
      <c r="K111" s="138"/>
      <c r="L111" s="138"/>
      <c r="M111" s="138"/>
      <c r="N111" s="138"/>
      <c r="O111" s="129"/>
      <c r="P111" s="129"/>
      <c r="Q111" s="138"/>
      <c r="R111" s="138"/>
      <c r="S111" s="138"/>
      <c r="T111" s="138"/>
      <c r="U111" s="138"/>
    </row>
    <row r="112" spans="1:21" s="126" customFormat="1">
      <c r="A112" s="131"/>
      <c r="C112" s="129"/>
      <c r="D112" s="129"/>
      <c r="E112" s="138"/>
      <c r="F112" s="129"/>
      <c r="G112" s="129"/>
      <c r="H112" s="138"/>
      <c r="I112" s="138"/>
      <c r="J112" s="138"/>
      <c r="K112" s="138"/>
      <c r="L112" s="138"/>
      <c r="M112" s="138"/>
      <c r="N112" s="138"/>
      <c r="O112" s="129"/>
      <c r="P112" s="129"/>
      <c r="Q112" s="138"/>
      <c r="R112" s="138"/>
      <c r="S112" s="138"/>
      <c r="T112" s="138"/>
      <c r="U112" s="138"/>
    </row>
    <row r="113" spans="1:21" s="126" customFormat="1">
      <c r="A113" s="131"/>
      <c r="C113" s="129"/>
      <c r="D113" s="129"/>
      <c r="E113" s="138"/>
      <c r="F113" s="129"/>
      <c r="G113" s="129"/>
      <c r="H113" s="138"/>
      <c r="I113" s="138"/>
      <c r="J113" s="138"/>
      <c r="K113" s="138"/>
      <c r="L113" s="138"/>
      <c r="M113" s="138"/>
      <c r="N113" s="138"/>
      <c r="O113" s="129"/>
      <c r="P113" s="129"/>
      <c r="Q113" s="138"/>
      <c r="R113" s="138"/>
      <c r="S113" s="138"/>
      <c r="T113" s="138"/>
      <c r="U113" s="138"/>
    </row>
    <row r="114" spans="1:21" s="126" customFormat="1">
      <c r="A114" s="131"/>
      <c r="B114" s="142"/>
      <c r="C114" s="129"/>
      <c r="D114" s="129"/>
      <c r="E114" s="138"/>
      <c r="F114" s="129"/>
      <c r="G114" s="129"/>
      <c r="H114" s="138"/>
      <c r="I114" s="138"/>
      <c r="J114" s="138"/>
      <c r="K114" s="138"/>
      <c r="L114" s="138"/>
      <c r="M114" s="138"/>
      <c r="N114" s="138"/>
      <c r="O114" s="129"/>
      <c r="P114" s="129"/>
      <c r="Q114" s="138"/>
      <c r="R114" s="138"/>
      <c r="S114" s="138"/>
      <c r="T114" s="138"/>
      <c r="U114" s="138"/>
    </row>
    <row r="115" spans="1:21" s="126" customFormat="1">
      <c r="A115" s="131"/>
      <c r="C115" s="129"/>
      <c r="D115" s="129"/>
      <c r="E115" s="138"/>
      <c r="F115" s="129"/>
      <c r="G115" s="129"/>
      <c r="H115" s="138"/>
      <c r="I115" s="138"/>
      <c r="J115" s="138"/>
      <c r="K115" s="138"/>
      <c r="L115" s="138"/>
      <c r="M115" s="138"/>
      <c r="N115" s="138"/>
      <c r="O115" s="129"/>
      <c r="P115" s="129"/>
      <c r="Q115" s="138"/>
      <c r="R115" s="138"/>
      <c r="S115" s="138"/>
      <c r="T115" s="138"/>
      <c r="U115" s="138"/>
    </row>
    <row r="116" spans="1:21" s="126" customFormat="1">
      <c r="A116" s="131"/>
      <c r="C116" s="129"/>
      <c r="D116" s="129"/>
      <c r="E116" s="138"/>
      <c r="F116" s="129"/>
      <c r="G116" s="129"/>
      <c r="H116" s="138"/>
      <c r="I116" s="138"/>
      <c r="J116" s="138"/>
      <c r="K116" s="138"/>
      <c r="L116" s="138"/>
      <c r="M116" s="138"/>
      <c r="N116" s="138"/>
      <c r="O116" s="129"/>
      <c r="P116" s="129"/>
      <c r="Q116" s="138"/>
      <c r="R116" s="138"/>
      <c r="S116" s="138"/>
      <c r="T116" s="138"/>
      <c r="U116" s="138"/>
    </row>
    <row r="117" spans="1:21" s="126" customFormat="1">
      <c r="A117" s="131"/>
      <c r="C117" s="129"/>
      <c r="D117" s="129"/>
      <c r="E117" s="138"/>
      <c r="F117" s="129"/>
      <c r="G117" s="129"/>
      <c r="H117" s="138"/>
      <c r="I117" s="138"/>
      <c r="J117" s="138"/>
      <c r="K117" s="138"/>
      <c r="L117" s="138"/>
      <c r="M117" s="138"/>
      <c r="N117" s="138"/>
      <c r="O117" s="129"/>
      <c r="P117" s="129"/>
      <c r="Q117" s="138"/>
      <c r="R117" s="138"/>
      <c r="S117" s="138"/>
      <c r="T117" s="138"/>
      <c r="U117" s="138"/>
    </row>
    <row r="118" spans="1:21" s="126" customFormat="1">
      <c r="A118" s="131"/>
      <c r="C118" s="129"/>
      <c r="D118" s="143"/>
      <c r="E118" s="138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38"/>
      <c r="R118" s="138"/>
      <c r="S118" s="138"/>
      <c r="T118" s="138"/>
      <c r="U118" s="138"/>
    </row>
    <row r="119" spans="1:21" s="126" customFormat="1">
      <c r="A119" s="131"/>
      <c r="C119" s="129"/>
      <c r="D119" s="143"/>
      <c r="E119" s="138"/>
      <c r="F119" s="129"/>
      <c r="G119" s="129"/>
      <c r="H119" s="129"/>
      <c r="I119" s="129"/>
      <c r="J119" s="129"/>
      <c r="K119" s="138"/>
      <c r="L119" s="138"/>
      <c r="M119" s="138"/>
      <c r="N119" s="138"/>
      <c r="O119" s="129"/>
      <c r="P119" s="129"/>
      <c r="Q119" s="138"/>
      <c r="R119" s="138"/>
      <c r="S119" s="138"/>
      <c r="T119" s="138"/>
      <c r="U119" s="138"/>
    </row>
    <row r="120" spans="1:21" s="126" customFormat="1">
      <c r="A120" s="125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</row>
    <row r="121" spans="1:21" s="126" customFormat="1">
      <c r="A121" s="125"/>
      <c r="B121" s="142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</row>
    <row r="122" spans="1:21" s="126" customFormat="1">
      <c r="A122" s="125"/>
      <c r="C122" s="127"/>
      <c r="D122" s="127"/>
      <c r="E122" s="127"/>
      <c r="F122" s="127"/>
      <c r="G122" s="127"/>
      <c r="H122" s="127"/>
      <c r="I122" s="144"/>
      <c r="J122" s="144"/>
      <c r="K122" s="145"/>
      <c r="L122" s="145"/>
      <c r="M122" s="145"/>
      <c r="N122" s="145"/>
      <c r="O122" s="127"/>
      <c r="P122" s="127"/>
      <c r="Q122" s="127"/>
      <c r="R122" s="127"/>
      <c r="S122" s="127"/>
      <c r="T122" s="127"/>
      <c r="U122" s="127"/>
    </row>
    <row r="123" spans="1:21" s="126" customFormat="1">
      <c r="A123" s="125"/>
      <c r="C123" s="127"/>
      <c r="D123" s="127"/>
      <c r="E123" s="127"/>
      <c r="F123" s="127"/>
      <c r="G123" s="127"/>
      <c r="H123" s="127"/>
      <c r="I123" s="144"/>
      <c r="J123" s="127"/>
      <c r="K123" s="144"/>
      <c r="L123" s="144"/>
      <c r="M123" s="144"/>
      <c r="N123" s="144"/>
      <c r="O123" s="146"/>
      <c r="P123" s="127"/>
      <c r="Q123" s="127"/>
      <c r="R123" s="127"/>
      <c r="S123" s="127"/>
      <c r="T123" s="127"/>
      <c r="U123" s="127"/>
    </row>
    <row r="124" spans="1:21" s="126" customFormat="1">
      <c r="A124" s="125"/>
      <c r="C124" s="127"/>
      <c r="D124" s="127"/>
      <c r="E124" s="127"/>
      <c r="F124" s="127"/>
      <c r="G124" s="127"/>
      <c r="H124" s="127"/>
      <c r="I124" s="127"/>
      <c r="J124" s="127"/>
      <c r="K124" s="145"/>
      <c r="L124" s="145"/>
      <c r="M124" s="145"/>
      <c r="N124" s="145"/>
      <c r="O124" s="127"/>
      <c r="P124" s="127"/>
      <c r="Q124" s="127"/>
      <c r="R124" s="127"/>
      <c r="S124" s="127"/>
      <c r="T124" s="127"/>
      <c r="U124" s="127"/>
    </row>
    <row r="125" spans="1:21" s="126" customFormat="1">
      <c r="A125" s="125"/>
      <c r="B125" s="142"/>
      <c r="C125" s="144"/>
      <c r="D125" s="127"/>
      <c r="E125" s="127"/>
      <c r="F125" s="127"/>
      <c r="G125" s="127"/>
      <c r="H125" s="127"/>
      <c r="I125" s="144"/>
      <c r="J125" s="146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</row>
    <row r="126" spans="1:21" s="126" customFormat="1">
      <c r="A126" s="125"/>
      <c r="C126" s="127"/>
      <c r="D126" s="127"/>
      <c r="E126" s="127"/>
      <c r="F126" s="127"/>
      <c r="G126" s="127"/>
      <c r="H126" s="127"/>
      <c r="I126" s="145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</row>
    <row r="127" spans="1:21" s="126" customFormat="1">
      <c r="A127" s="125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</row>
    <row r="128" spans="1:21" s="126" customFormat="1">
      <c r="A128" s="125"/>
      <c r="B128" s="142"/>
      <c r="C128" s="144"/>
      <c r="D128" s="144"/>
      <c r="E128" s="144"/>
      <c r="F128" s="127"/>
      <c r="G128" s="127"/>
      <c r="H128" s="127"/>
      <c r="I128" s="144"/>
      <c r="J128" s="144"/>
      <c r="K128" s="144"/>
      <c r="L128" s="144"/>
      <c r="M128" s="144"/>
      <c r="N128" s="144"/>
      <c r="O128" s="127"/>
      <c r="P128" s="127"/>
      <c r="Q128" s="127"/>
      <c r="R128" s="127"/>
      <c r="S128" s="127"/>
      <c r="T128" s="127"/>
      <c r="U128" s="127"/>
    </row>
    <row r="129" spans="1:21" s="126" customFormat="1">
      <c r="A129" s="125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</row>
    <row r="130" spans="1:21" s="126" customFormat="1">
      <c r="A130" s="125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</row>
    <row r="131" spans="1:21" s="126" customFormat="1">
      <c r="A131" s="125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</row>
    <row r="132" spans="1:21" s="126" customFormat="1">
      <c r="A132" s="125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</row>
    <row r="133" spans="1:21" s="126" customFormat="1">
      <c r="A133" s="125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</row>
    <row r="134" spans="1:21" s="126" customFormat="1">
      <c r="A134" s="125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</row>
    <row r="135" spans="1:21" s="126" customFormat="1">
      <c r="A135" s="125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</row>
    <row r="136" spans="1:21" s="126" customFormat="1">
      <c r="A136" s="125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</row>
    <row r="137" spans="1:21" s="126" customFormat="1">
      <c r="A137" s="125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</row>
    <row r="138" spans="1:21" s="126" customFormat="1">
      <c r="A138" s="125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</row>
    <row r="139" spans="1:21" s="126" customFormat="1">
      <c r="A139" s="125"/>
      <c r="B139" s="142"/>
      <c r="C139" s="144"/>
      <c r="D139" s="127"/>
      <c r="E139" s="127"/>
      <c r="F139" s="127"/>
      <c r="G139" s="127"/>
      <c r="H139" s="144"/>
      <c r="I139" s="144"/>
      <c r="J139" s="127"/>
      <c r="K139" s="127"/>
      <c r="L139" s="127"/>
      <c r="M139" s="127"/>
      <c r="N139" s="127"/>
      <c r="O139" s="127"/>
      <c r="P139" s="144"/>
      <c r="Q139" s="127"/>
      <c r="R139" s="127"/>
      <c r="S139" s="127"/>
      <c r="T139" s="127"/>
      <c r="U139" s="127"/>
    </row>
    <row r="140" spans="1:21" s="126" customFormat="1">
      <c r="A140" s="125"/>
      <c r="C140" s="127"/>
      <c r="D140" s="127"/>
      <c r="E140" s="127"/>
      <c r="F140" s="127"/>
      <c r="G140" s="127"/>
      <c r="H140" s="147"/>
      <c r="I140" s="148"/>
      <c r="J140" s="127"/>
      <c r="K140" s="127"/>
      <c r="L140" s="127"/>
      <c r="M140" s="127"/>
      <c r="N140" s="127"/>
      <c r="O140" s="127"/>
      <c r="P140" s="127"/>
      <c r="Q140" s="127"/>
      <c r="R140" s="146"/>
      <c r="S140" s="127"/>
      <c r="T140" s="127"/>
      <c r="U140" s="127"/>
    </row>
    <row r="141" spans="1:21" s="126" customFormat="1">
      <c r="A141" s="125"/>
      <c r="C141" s="127"/>
      <c r="D141" s="127"/>
      <c r="E141" s="127"/>
      <c r="F141" s="127"/>
      <c r="G141" s="127"/>
      <c r="H141" s="144"/>
      <c r="I141" s="147"/>
      <c r="J141" s="127"/>
      <c r="K141" s="127"/>
      <c r="L141" s="127"/>
      <c r="M141" s="127"/>
      <c r="N141" s="127"/>
      <c r="O141" s="127"/>
      <c r="P141" s="127"/>
      <c r="Q141" s="127"/>
      <c r="R141" s="146"/>
      <c r="S141" s="127"/>
      <c r="T141" s="127"/>
      <c r="U141" s="127"/>
    </row>
    <row r="142" spans="1:21" s="126" customFormat="1">
      <c r="A142" s="125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</row>
    <row r="143" spans="1:21" s="126" customFormat="1">
      <c r="A143" s="125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</row>
    <row r="144" spans="1:21" s="126" customFormat="1">
      <c r="A144" s="125"/>
      <c r="B144" s="142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</row>
    <row r="145" spans="1:21" s="126" customFormat="1">
      <c r="A145" s="125"/>
      <c r="C145" s="144"/>
      <c r="D145" s="144"/>
      <c r="E145" s="144"/>
      <c r="F145" s="144"/>
      <c r="G145" s="144"/>
      <c r="H145" s="144"/>
      <c r="I145" s="144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</row>
    <row r="146" spans="1:21" s="126" customFormat="1">
      <c r="A146" s="125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</row>
    <row r="147" spans="1:21" s="126" customFormat="1">
      <c r="A147" s="125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</row>
    <row r="148" spans="1:21" s="126" customFormat="1">
      <c r="A148" s="125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</row>
    <row r="149" spans="1:21" s="126" customFormat="1">
      <c r="A149" s="125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</row>
  </sheetData>
  <mergeCells count="29">
    <mergeCell ref="A75:A76"/>
    <mergeCell ref="A45:U45"/>
    <mergeCell ref="A55:U55"/>
    <mergeCell ref="A63:U63"/>
    <mergeCell ref="U1:U2"/>
    <mergeCell ref="K1:K2"/>
    <mergeCell ref="L1:O1"/>
    <mergeCell ref="A50:U50"/>
    <mergeCell ref="B71:F71"/>
    <mergeCell ref="B75:C75"/>
    <mergeCell ref="E75:F75"/>
    <mergeCell ref="N72:N73"/>
    <mergeCell ref="A40:U40"/>
    <mergeCell ref="V1:V2"/>
    <mergeCell ref="A3:U3"/>
    <mergeCell ref="A28:U28"/>
    <mergeCell ref="A35:U35"/>
    <mergeCell ref="G1:G2"/>
    <mergeCell ref="T1:T2"/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L2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9"/>
  <sheetViews>
    <sheetView topLeftCell="A7" workbookViewId="0">
      <selection activeCell="G19" sqref="G19"/>
    </sheetView>
  </sheetViews>
  <sheetFormatPr defaultRowHeight="15"/>
  <cols>
    <col min="2" max="2" width="18.85546875" customWidth="1"/>
    <col min="5" max="5" width="11.5703125" bestFit="1" customWidth="1"/>
    <col min="6" max="7" width="11.5703125" customWidth="1"/>
    <col min="8" max="8" width="15.85546875" customWidth="1"/>
    <col min="9" max="9" width="13.42578125" customWidth="1"/>
    <col min="10" max="10" width="11.5703125" bestFit="1" customWidth="1"/>
    <col min="12" max="12" width="26" customWidth="1"/>
    <col min="15" max="15" width="11.5703125" bestFit="1" customWidth="1"/>
  </cols>
  <sheetData>
    <row r="2" spans="2:16">
      <c r="B2" s="124"/>
      <c r="C2" s="124"/>
      <c r="D2" s="124"/>
      <c r="E2" s="124"/>
      <c r="F2" s="205"/>
      <c r="G2" s="205"/>
      <c r="H2" s="205"/>
      <c r="I2" s="205"/>
      <c r="J2" s="124"/>
      <c r="K2" s="124"/>
      <c r="L2" s="124"/>
      <c r="M2" s="124"/>
      <c r="N2" s="124"/>
      <c r="O2" s="124"/>
      <c r="P2" s="124"/>
    </row>
    <row r="3" spans="2:16">
      <c r="B3" s="124"/>
      <c r="C3" s="124"/>
      <c r="D3" s="124"/>
      <c r="E3" s="124"/>
      <c r="F3" s="205"/>
      <c r="G3" s="205"/>
      <c r="H3" s="205"/>
      <c r="I3" s="205"/>
      <c r="J3" s="124"/>
      <c r="K3" s="124"/>
      <c r="L3" s="124"/>
      <c r="M3" s="124"/>
      <c r="N3" s="124"/>
      <c r="O3" s="124"/>
      <c r="P3" s="124"/>
    </row>
    <row r="4" spans="2:16" ht="18.75" customHeight="1">
      <c r="B4" s="256" t="s">
        <v>225</v>
      </c>
      <c r="C4" s="256"/>
      <c r="D4" s="256"/>
      <c r="E4" s="256"/>
      <c r="F4" s="256"/>
      <c r="G4" s="256"/>
      <c r="H4" s="256"/>
      <c r="I4" s="256"/>
      <c r="J4" s="256"/>
      <c r="K4" s="256"/>
      <c r="L4" s="124"/>
      <c r="M4" s="124"/>
      <c r="N4" s="124"/>
      <c r="O4" s="124"/>
      <c r="P4" s="124"/>
    </row>
    <row r="5" spans="2:16">
      <c r="B5" s="124"/>
      <c r="C5" s="124"/>
      <c r="D5" s="124"/>
      <c r="E5" s="124"/>
      <c r="F5" s="205"/>
      <c r="G5" s="205"/>
      <c r="H5" s="205"/>
      <c r="I5" s="205"/>
      <c r="J5" s="124"/>
      <c r="K5" s="124"/>
      <c r="L5" s="124"/>
      <c r="M5" s="124"/>
      <c r="N5" s="124"/>
      <c r="O5" s="124"/>
      <c r="P5" s="124"/>
    </row>
    <row r="6" spans="2:16" ht="30" customHeight="1" thickBot="1">
      <c r="B6" s="126"/>
      <c r="C6" s="126"/>
      <c r="D6" s="126"/>
      <c r="E6" s="126"/>
      <c r="F6" s="127"/>
      <c r="K6" s="124"/>
      <c r="P6" s="124"/>
    </row>
    <row r="7" spans="2:16" ht="15.75" thickBot="1">
      <c r="B7" s="564" t="s">
        <v>190</v>
      </c>
      <c r="C7" s="565"/>
      <c r="D7" s="565"/>
      <c r="E7" s="566"/>
      <c r="F7" s="205"/>
      <c r="H7" s="567" t="s">
        <v>269</v>
      </c>
      <c r="I7" s="567"/>
      <c r="J7" s="249"/>
      <c r="K7" s="124"/>
      <c r="P7" s="124"/>
    </row>
    <row r="8" spans="2:16" ht="30">
      <c r="B8" s="124"/>
      <c r="C8" s="124"/>
      <c r="D8" s="124"/>
      <c r="E8" s="124"/>
      <c r="F8" s="205"/>
      <c r="H8" s="205" t="s">
        <v>111</v>
      </c>
      <c r="I8" s="205" t="s">
        <v>189</v>
      </c>
      <c r="J8" s="205"/>
      <c r="P8" s="124"/>
    </row>
    <row r="9" spans="2:16" ht="60.75" thickBot="1">
      <c r="B9" s="124" t="s">
        <v>111</v>
      </c>
      <c r="C9" s="124" t="s">
        <v>89</v>
      </c>
      <c r="D9" s="124" t="s">
        <v>188</v>
      </c>
      <c r="E9" s="124" t="s">
        <v>189</v>
      </c>
      <c r="F9" s="177"/>
      <c r="H9" s="205" t="s">
        <v>279</v>
      </c>
      <c r="I9" s="205">
        <v>154.83000000000001</v>
      </c>
      <c r="K9" s="124"/>
      <c r="P9" s="124"/>
    </row>
    <row r="10" spans="2:16" ht="51.75" customHeight="1" thickBot="1">
      <c r="B10" s="257" t="s">
        <v>280</v>
      </c>
      <c r="C10" s="257"/>
      <c r="D10" s="257"/>
      <c r="E10" s="258">
        <f>100-(100*10%)</f>
        <v>90</v>
      </c>
      <c r="F10" s="177"/>
      <c r="H10" s="260" t="s">
        <v>249</v>
      </c>
      <c r="I10" s="261">
        <f>I9*ФОТ!L73</f>
        <v>51.527899116868113</v>
      </c>
      <c r="K10" s="124"/>
      <c r="P10" s="124"/>
    </row>
    <row r="11" spans="2:16" ht="51.75" customHeight="1" thickBot="1">
      <c r="B11" s="219" t="s">
        <v>281</v>
      </c>
      <c r="C11" s="219"/>
      <c r="D11" s="219"/>
      <c r="E11" s="259">
        <f>200-(200*10%)</f>
        <v>180</v>
      </c>
      <c r="F11" s="177"/>
      <c r="H11" s="262" t="s">
        <v>251</v>
      </c>
      <c r="I11" s="263">
        <f>I9*ФОТ!M73</f>
        <v>60.432968868061273</v>
      </c>
      <c r="K11" s="124"/>
      <c r="P11" s="124"/>
    </row>
    <row r="12" spans="2:16" ht="51.75" customHeight="1">
      <c r="B12" s="219" t="s">
        <v>282</v>
      </c>
      <c r="C12" s="219"/>
      <c r="D12" s="219"/>
      <c r="E12" s="259">
        <f>50-(50*10%)</f>
        <v>45</v>
      </c>
      <c r="F12" s="177"/>
      <c r="H12" s="205"/>
      <c r="I12" s="205"/>
      <c r="K12" s="124"/>
      <c r="P12" s="124"/>
    </row>
    <row r="13" spans="2:16" ht="51.75" customHeight="1">
      <c r="B13" s="264" t="s">
        <v>283</v>
      </c>
      <c r="C13" s="264"/>
      <c r="D13" s="264"/>
      <c r="E13" s="264">
        <v>150</v>
      </c>
      <c r="F13" s="177"/>
      <c r="K13" s="124"/>
      <c r="P13" s="124"/>
    </row>
    <row r="14" spans="2:16" ht="51.75" customHeight="1">
      <c r="B14" s="219" t="s">
        <v>284</v>
      </c>
      <c r="C14" s="219"/>
      <c r="D14" s="219"/>
      <c r="E14" s="259">
        <f>50-(50*10%)</f>
        <v>45</v>
      </c>
      <c r="F14" s="177"/>
      <c r="K14" s="205"/>
      <c r="P14" s="205"/>
    </row>
    <row r="15" spans="2:16" ht="51.75" customHeight="1">
      <c r="B15" s="219" t="s">
        <v>285</v>
      </c>
      <c r="C15" s="219"/>
      <c r="D15" s="219"/>
      <c r="E15" s="219">
        <f>75-(75*10%)</f>
        <v>67.5</v>
      </c>
      <c r="F15" s="177"/>
      <c r="K15" s="205"/>
      <c r="P15" s="205"/>
    </row>
    <row r="16" spans="2:16" ht="51.75" customHeight="1" thickBot="1">
      <c r="B16" s="219" t="s">
        <v>286</v>
      </c>
      <c r="C16" s="219"/>
      <c r="D16" s="219"/>
      <c r="E16" s="219">
        <v>25</v>
      </c>
      <c r="F16" s="177"/>
      <c r="K16" s="205"/>
      <c r="P16" s="205"/>
    </row>
    <row r="17" spans="2:16">
      <c r="B17" s="237" t="s">
        <v>249</v>
      </c>
      <c r="C17" s="238"/>
      <c r="D17" s="238"/>
      <c r="E17" s="239">
        <f>E11+E12+E14+E15+E16</f>
        <v>362.5</v>
      </c>
      <c r="F17" s="177"/>
      <c r="K17" s="124"/>
      <c r="L17" s="124"/>
      <c r="M17" s="124"/>
      <c r="N17" s="124"/>
      <c r="O17" s="124"/>
      <c r="P17" s="124"/>
    </row>
    <row r="18" spans="2:16" ht="15.75" thickBot="1">
      <c r="B18" s="240" t="s">
        <v>251</v>
      </c>
      <c r="C18" s="236"/>
      <c r="D18" s="236"/>
      <c r="E18" s="241">
        <f>E10</f>
        <v>90</v>
      </c>
      <c r="F18" s="177"/>
      <c r="K18" s="124"/>
      <c r="L18" s="124"/>
      <c r="M18" s="124"/>
      <c r="N18" s="124"/>
      <c r="O18" s="124"/>
      <c r="P18" s="124"/>
    </row>
    <row r="19" spans="2:16">
      <c r="B19" s="124"/>
      <c r="C19" s="124"/>
      <c r="D19" s="124"/>
      <c r="E19" s="124"/>
      <c r="F19" s="205"/>
      <c r="K19" s="124"/>
      <c r="L19" s="124"/>
      <c r="M19" s="124"/>
      <c r="N19" s="124"/>
      <c r="O19" s="124"/>
      <c r="P19" s="124"/>
    </row>
    <row r="20" spans="2:16">
      <c r="B20" s="175"/>
      <c r="C20" s="175"/>
      <c r="D20" s="175"/>
      <c r="E20" s="176"/>
      <c r="F20" s="176"/>
      <c r="K20" s="124"/>
      <c r="L20" s="124"/>
      <c r="M20" s="124"/>
      <c r="N20" s="124"/>
      <c r="O20" s="124"/>
      <c r="P20" s="124"/>
    </row>
    <row r="21" spans="2:16">
      <c r="B21" s="124"/>
      <c r="C21" s="124"/>
      <c r="D21" s="124"/>
      <c r="E21" s="124"/>
      <c r="F21" s="205"/>
      <c r="K21" s="124"/>
      <c r="L21" s="124"/>
      <c r="M21" s="124"/>
      <c r="N21" s="124"/>
      <c r="O21" s="124"/>
      <c r="P21" s="124"/>
    </row>
    <row r="22" spans="2:16">
      <c r="B22" s="124"/>
      <c r="C22" s="124"/>
      <c r="D22" s="124"/>
      <c r="E22" s="124"/>
      <c r="F22" s="205"/>
      <c r="K22" s="124"/>
      <c r="L22" s="124"/>
      <c r="M22" s="124"/>
      <c r="N22" s="124"/>
      <c r="O22" s="124"/>
      <c r="P22" s="124"/>
    </row>
    <row r="23" spans="2:16">
      <c r="B23" s="124"/>
      <c r="C23" s="124"/>
      <c r="D23" s="124"/>
      <c r="E23" s="124"/>
      <c r="F23" s="205"/>
      <c r="K23" s="124"/>
      <c r="L23" s="124"/>
      <c r="M23" s="124"/>
      <c r="N23" s="124"/>
      <c r="O23" s="124"/>
      <c r="P23" s="124"/>
    </row>
    <row r="24" spans="2:16">
      <c r="B24" s="124"/>
      <c r="C24" s="124"/>
      <c r="D24" s="124"/>
      <c r="E24" s="124"/>
      <c r="F24" s="205"/>
      <c r="K24" s="124"/>
      <c r="L24" s="124"/>
      <c r="M24" s="124"/>
      <c r="N24" s="124"/>
      <c r="O24" s="124"/>
      <c r="P24" s="124"/>
    </row>
    <row r="25" spans="2:16">
      <c r="B25" s="124"/>
      <c r="C25" s="124"/>
      <c r="D25" s="124"/>
      <c r="E25" s="124"/>
      <c r="F25" s="205"/>
      <c r="K25" s="124"/>
      <c r="L25" s="124"/>
      <c r="M25" s="124"/>
      <c r="N25" s="124"/>
      <c r="O25" s="124"/>
      <c r="P25" s="124"/>
    </row>
    <row r="26" spans="2:16">
      <c r="B26" s="124"/>
      <c r="C26" s="124"/>
      <c r="D26" s="124"/>
      <c r="E26" s="124"/>
      <c r="F26" s="205"/>
      <c r="K26" s="124"/>
      <c r="L26" s="124"/>
      <c r="M26" s="124"/>
      <c r="N26" s="124"/>
      <c r="O26" s="124"/>
      <c r="P26" s="124"/>
    </row>
    <row r="27" spans="2:16">
      <c r="B27" s="124"/>
      <c r="C27" s="124"/>
      <c r="D27" s="124"/>
      <c r="E27" s="124"/>
      <c r="F27" s="205"/>
      <c r="G27" s="205"/>
      <c r="H27" s="205"/>
      <c r="I27" s="205"/>
      <c r="J27" s="124"/>
      <c r="K27" s="124"/>
      <c r="L27" s="124"/>
      <c r="M27" s="124"/>
      <c r="N27" s="124"/>
      <c r="O27" s="124"/>
      <c r="P27" s="124"/>
    </row>
    <row r="28" spans="2:16">
      <c r="B28" s="124"/>
      <c r="C28" s="124"/>
      <c r="D28" s="124"/>
      <c r="E28" s="124"/>
      <c r="F28" s="205"/>
      <c r="G28" s="205"/>
      <c r="H28" s="205"/>
      <c r="I28" s="205"/>
      <c r="J28" s="124"/>
      <c r="K28" s="124"/>
      <c r="L28" s="124"/>
      <c r="M28" s="124"/>
      <c r="N28" s="124"/>
      <c r="O28" s="124"/>
      <c r="P28" s="124"/>
    </row>
    <row r="29" spans="2:16">
      <c r="B29" s="124"/>
      <c r="C29" s="124"/>
      <c r="D29" s="124"/>
      <c r="E29" s="124"/>
      <c r="F29" s="205"/>
      <c r="G29" s="205"/>
      <c r="H29" s="205"/>
      <c r="I29" s="205"/>
      <c r="J29" s="124"/>
      <c r="K29" s="124"/>
      <c r="L29" s="124"/>
      <c r="M29" s="124"/>
      <c r="N29" s="124"/>
      <c r="O29" s="124"/>
      <c r="P29" s="124"/>
    </row>
    <row r="30" spans="2:16">
      <c r="B30" s="124"/>
      <c r="C30" s="124"/>
      <c r="D30" s="124"/>
      <c r="E30" s="124"/>
      <c r="F30" s="205"/>
      <c r="G30" s="205"/>
      <c r="H30" s="205"/>
      <c r="I30" s="205"/>
      <c r="J30" s="124"/>
      <c r="K30" s="124"/>
      <c r="L30" s="124"/>
      <c r="M30" s="124"/>
      <c r="N30" s="124"/>
      <c r="O30" s="124"/>
      <c r="P30" s="124"/>
    </row>
    <row r="31" spans="2:16">
      <c r="B31" s="124"/>
      <c r="C31" s="124"/>
      <c r="D31" s="124"/>
      <c r="E31" s="124"/>
      <c r="F31" s="205"/>
      <c r="G31" s="205"/>
      <c r="H31" s="205"/>
      <c r="I31" s="205"/>
      <c r="J31" s="124"/>
      <c r="K31" s="124"/>
      <c r="L31" s="124"/>
      <c r="M31" s="124"/>
      <c r="N31" s="124"/>
      <c r="O31" s="124"/>
      <c r="P31" s="124"/>
    </row>
    <row r="32" spans="2:16">
      <c r="B32" s="124"/>
      <c r="C32" s="124"/>
      <c r="D32" s="124"/>
      <c r="E32" s="124"/>
      <c r="F32" s="205"/>
      <c r="G32" s="205"/>
      <c r="H32" s="205"/>
      <c r="I32" s="205"/>
      <c r="J32" s="124"/>
      <c r="K32" s="124"/>
      <c r="L32" s="124"/>
      <c r="M32" s="124"/>
      <c r="N32" s="124"/>
      <c r="O32" s="124"/>
      <c r="P32" s="124"/>
    </row>
    <row r="33" spans="2:16">
      <c r="B33" s="124"/>
      <c r="C33" s="124"/>
      <c r="D33" s="124"/>
      <c r="E33" s="124"/>
      <c r="F33" s="205"/>
      <c r="G33" s="205"/>
      <c r="H33" s="205"/>
      <c r="I33" s="205"/>
      <c r="J33" s="124"/>
      <c r="K33" s="124"/>
      <c r="L33" s="124"/>
      <c r="M33" s="124"/>
      <c r="N33" s="124"/>
      <c r="O33" s="124"/>
      <c r="P33" s="124"/>
    </row>
    <row r="34" spans="2:16">
      <c r="B34" s="124"/>
      <c r="C34" s="124"/>
      <c r="D34" s="124"/>
      <c r="E34" s="124"/>
      <c r="F34" s="205"/>
      <c r="G34" s="205"/>
      <c r="H34" s="205"/>
      <c r="I34" s="205"/>
      <c r="J34" s="124"/>
      <c r="K34" s="124"/>
      <c r="L34" s="124"/>
      <c r="M34" s="124"/>
      <c r="N34" s="124"/>
      <c r="O34" s="124"/>
      <c r="P34" s="124"/>
    </row>
    <row r="35" spans="2:16">
      <c r="B35" s="124"/>
      <c r="C35" s="124"/>
      <c r="D35" s="124"/>
      <c r="E35" s="124"/>
      <c r="F35" s="205"/>
      <c r="G35" s="205"/>
      <c r="H35" s="205"/>
      <c r="I35" s="205"/>
      <c r="J35" s="124"/>
      <c r="K35" s="124"/>
      <c r="L35" s="124"/>
      <c r="M35" s="124"/>
      <c r="N35" s="124"/>
      <c r="O35" s="124"/>
      <c r="P35" s="124"/>
    </row>
    <row r="36" spans="2:16">
      <c r="B36" s="124"/>
      <c r="C36" s="124"/>
      <c r="D36" s="124"/>
      <c r="E36" s="124"/>
      <c r="F36" s="205"/>
      <c r="G36" s="205"/>
      <c r="H36" s="205"/>
      <c r="I36" s="205"/>
      <c r="J36" s="124"/>
      <c r="K36" s="124"/>
      <c r="L36" s="124"/>
      <c r="M36" s="124"/>
      <c r="N36" s="124"/>
      <c r="O36" s="124"/>
      <c r="P36" s="124"/>
    </row>
    <row r="37" spans="2:16">
      <c r="B37" s="124"/>
      <c r="C37" s="124"/>
      <c r="D37" s="124"/>
      <c r="E37" s="124"/>
      <c r="F37" s="205"/>
      <c r="G37" s="205"/>
      <c r="H37" s="205"/>
      <c r="I37" s="205"/>
      <c r="J37" s="124"/>
      <c r="K37" s="124"/>
      <c r="L37" s="124"/>
      <c r="M37" s="124"/>
      <c r="N37" s="124"/>
      <c r="O37" s="124"/>
      <c r="P37" s="124"/>
    </row>
    <row r="38" spans="2:16">
      <c r="B38" s="124"/>
      <c r="C38" s="124"/>
      <c r="D38" s="124"/>
      <c r="E38" s="124"/>
      <c r="F38" s="205"/>
      <c r="G38" s="205"/>
      <c r="H38" s="205"/>
      <c r="I38" s="205"/>
      <c r="J38" s="124"/>
      <c r="K38" s="124"/>
      <c r="L38" s="124"/>
      <c r="M38" s="124"/>
      <c r="N38" s="124"/>
      <c r="O38" s="124"/>
      <c r="P38" s="124"/>
    </row>
    <row r="39" spans="2:16">
      <c r="B39" s="124"/>
      <c r="C39" s="124"/>
      <c r="D39" s="124"/>
      <c r="E39" s="124"/>
      <c r="F39" s="205"/>
      <c r="G39" s="205"/>
      <c r="H39" s="205"/>
      <c r="I39" s="205"/>
      <c r="J39" s="124"/>
      <c r="K39" s="124"/>
      <c r="L39" s="124"/>
      <c r="M39" s="124"/>
      <c r="N39" s="124"/>
      <c r="O39" s="124"/>
      <c r="P39" s="124"/>
    </row>
  </sheetData>
  <mergeCells count="2">
    <mergeCell ref="B7:E7"/>
    <mergeCell ref="H7:I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K47"/>
  <sheetViews>
    <sheetView topLeftCell="A25" workbookViewId="0">
      <selection activeCell="H36" sqref="H36"/>
    </sheetView>
  </sheetViews>
  <sheetFormatPr defaultRowHeight="15"/>
  <cols>
    <col min="2" max="2" width="16.42578125" customWidth="1"/>
    <col min="4" max="4" width="16.5703125" customWidth="1"/>
    <col min="8" max="8" width="16.85546875" customWidth="1"/>
  </cols>
  <sheetData>
    <row r="4" spans="1:11" ht="19.5" thickBot="1">
      <c r="B4" s="569" t="s">
        <v>208</v>
      </c>
      <c r="C4" s="569"/>
      <c r="D4" s="569"/>
      <c r="E4" s="569"/>
      <c r="F4" s="569"/>
      <c r="G4" s="569"/>
      <c r="H4" s="569"/>
      <c r="I4" s="569"/>
      <c r="J4" s="569"/>
      <c r="K4" s="569"/>
    </row>
    <row r="5" spans="1:11" ht="15.75" thickBot="1">
      <c r="H5" s="250" t="s">
        <v>277</v>
      </c>
      <c r="I5" s="251"/>
      <c r="J5" s="252">
        <f>E24+K24+D36</f>
        <v>126.77974637601233</v>
      </c>
      <c r="K5" s="26"/>
    </row>
    <row r="6" spans="1:11" ht="15.75" thickBot="1">
      <c r="B6" s="567" t="s">
        <v>238</v>
      </c>
      <c r="C6" s="567"/>
      <c r="D6" s="567"/>
      <c r="E6" s="567"/>
      <c r="H6" s="253" t="s">
        <v>278</v>
      </c>
      <c r="I6" s="254"/>
      <c r="J6" s="255">
        <f>E25+K25+D37</f>
        <v>70.597307263120015</v>
      </c>
      <c r="K6" s="26"/>
    </row>
    <row r="7" spans="1:11">
      <c r="C7" s="215"/>
      <c r="D7" s="215"/>
      <c r="E7" s="215"/>
      <c r="H7" s="26"/>
      <c r="I7" s="26"/>
      <c r="J7" s="26"/>
      <c r="K7" s="26"/>
    </row>
    <row r="8" spans="1:11" ht="33.75" customHeight="1">
      <c r="A8" s="218" t="s">
        <v>116</v>
      </c>
      <c r="B8" s="205" t="s">
        <v>111</v>
      </c>
      <c r="C8" s="205" t="s">
        <v>89</v>
      </c>
      <c r="D8" s="205" t="s">
        <v>246</v>
      </c>
      <c r="E8" s="205" t="s">
        <v>189</v>
      </c>
      <c r="F8" s="205"/>
      <c r="G8" s="177"/>
      <c r="H8" s="568" t="s">
        <v>224</v>
      </c>
      <c r="I8" s="568"/>
      <c r="J8" s="568"/>
      <c r="K8" s="568"/>
    </row>
    <row r="9" spans="1:11" ht="33.75" customHeight="1">
      <c r="A9" s="218">
        <v>1</v>
      </c>
      <c r="B9" s="205" t="s">
        <v>248</v>
      </c>
      <c r="C9" s="205">
        <v>16</v>
      </c>
      <c r="D9" s="177">
        <f>0.42*1.04</f>
        <v>0.43680000000000002</v>
      </c>
      <c r="E9" s="177">
        <f>C9*D9</f>
        <v>6.9888000000000003</v>
      </c>
      <c r="F9" s="205"/>
      <c r="G9" s="205"/>
      <c r="H9" s="205"/>
      <c r="I9" s="205"/>
      <c r="J9" s="205"/>
      <c r="K9" s="124"/>
    </row>
    <row r="10" spans="1:11" ht="33.75" customHeight="1">
      <c r="A10" s="218"/>
      <c r="B10" s="222" t="s">
        <v>247</v>
      </c>
      <c r="C10" s="222">
        <v>5</v>
      </c>
      <c r="D10" s="223">
        <f>D9</f>
        <v>0.43680000000000002</v>
      </c>
      <c r="E10" s="223">
        <f>C10*D10</f>
        <v>2.1840000000000002</v>
      </c>
      <c r="F10" s="205"/>
      <c r="G10" s="205"/>
      <c r="H10" s="205" t="s">
        <v>111</v>
      </c>
      <c r="I10" s="205" t="s">
        <v>89</v>
      </c>
      <c r="J10" s="205" t="s">
        <v>188</v>
      </c>
      <c r="K10" s="205" t="s">
        <v>189</v>
      </c>
    </row>
    <row r="11" spans="1:11" ht="33.75" customHeight="1">
      <c r="A11" s="218">
        <v>2</v>
      </c>
      <c r="B11" s="205" t="s">
        <v>239</v>
      </c>
      <c r="C11" s="205">
        <v>11</v>
      </c>
      <c r="D11" s="177">
        <f>1.85*1.04</f>
        <v>1.9240000000000002</v>
      </c>
      <c r="E11" s="177">
        <f t="shared" ref="E11:E19" si="0">C11*D11</f>
        <v>21.164000000000001</v>
      </c>
      <c r="F11" s="205"/>
      <c r="G11" s="205"/>
      <c r="H11" s="177" t="s">
        <v>226</v>
      </c>
      <c r="I11" s="177">
        <v>4</v>
      </c>
      <c r="J11" s="177"/>
      <c r="K11" s="177">
        <v>0.62</v>
      </c>
    </row>
    <row r="12" spans="1:11" ht="33.75" customHeight="1">
      <c r="A12" s="218">
        <v>3</v>
      </c>
      <c r="B12" s="205" t="s">
        <v>240</v>
      </c>
      <c r="C12" s="205">
        <v>162</v>
      </c>
      <c r="D12" s="177">
        <f>0.035*1.04</f>
        <v>3.6400000000000002E-2</v>
      </c>
      <c r="E12" s="177">
        <f t="shared" si="0"/>
        <v>5.8968000000000007</v>
      </c>
      <c r="F12" s="205"/>
      <c r="G12" s="205"/>
      <c r="H12" s="177" t="s">
        <v>227</v>
      </c>
      <c r="I12" s="177">
        <v>1</v>
      </c>
      <c r="J12" s="177"/>
      <c r="K12" s="177">
        <v>0.82</v>
      </c>
    </row>
    <row r="13" spans="1:11" ht="33.75" customHeight="1">
      <c r="A13" s="218"/>
      <c r="B13" s="222" t="s">
        <v>247</v>
      </c>
      <c r="C13" s="222">
        <v>10</v>
      </c>
      <c r="D13" s="223">
        <f>D12</f>
        <v>3.6400000000000002E-2</v>
      </c>
      <c r="E13" s="223">
        <f>C13*D13</f>
        <v>0.36399999999999999</v>
      </c>
      <c r="F13" s="205"/>
      <c r="G13" s="205"/>
      <c r="H13" s="177" t="s">
        <v>228</v>
      </c>
      <c r="I13" s="177">
        <v>4</v>
      </c>
      <c r="J13" s="177"/>
      <c r="K13" s="177">
        <v>0.60799999999999998</v>
      </c>
    </row>
    <row r="14" spans="1:11" ht="33.75" customHeight="1">
      <c r="A14" s="218">
        <v>4</v>
      </c>
      <c r="B14" s="205" t="s">
        <v>241</v>
      </c>
      <c r="C14" s="205">
        <v>80</v>
      </c>
      <c r="D14" s="177">
        <f>0.03*1.04</f>
        <v>3.1199999999999999E-2</v>
      </c>
      <c r="E14" s="177">
        <f t="shared" si="0"/>
        <v>2.496</v>
      </c>
      <c r="F14" s="205"/>
      <c r="G14" s="205"/>
      <c r="H14" s="177" t="s">
        <v>229</v>
      </c>
      <c r="I14" s="177">
        <v>4</v>
      </c>
      <c r="J14" s="177"/>
      <c r="K14" s="177">
        <v>4.68</v>
      </c>
    </row>
    <row r="15" spans="1:11" ht="33.75" customHeight="1">
      <c r="A15" s="218">
        <v>5</v>
      </c>
      <c r="B15" s="205" t="s">
        <v>242</v>
      </c>
      <c r="C15" s="205">
        <v>17</v>
      </c>
      <c r="D15" s="177">
        <f>0.45*1.04</f>
        <v>0.46800000000000003</v>
      </c>
      <c r="E15" s="177">
        <f t="shared" si="0"/>
        <v>7.9560000000000004</v>
      </c>
      <c r="F15" s="205"/>
      <c r="G15" s="205"/>
      <c r="H15" s="177" t="s">
        <v>230</v>
      </c>
      <c r="I15" s="177">
        <v>4</v>
      </c>
      <c r="J15" s="177"/>
      <c r="K15" s="177">
        <v>5.1239999999999997</v>
      </c>
    </row>
    <row r="16" spans="1:11" ht="33.75" customHeight="1">
      <c r="A16" s="218"/>
      <c r="B16" s="222" t="s">
        <v>247</v>
      </c>
      <c r="C16" s="222">
        <v>5</v>
      </c>
      <c r="D16" s="223">
        <f>D15</f>
        <v>0.46800000000000003</v>
      </c>
      <c r="E16" s="223">
        <f>C16*D16</f>
        <v>2.3400000000000003</v>
      </c>
      <c r="F16" s="205"/>
      <c r="G16" s="205"/>
      <c r="H16" s="177" t="s">
        <v>231</v>
      </c>
      <c r="I16" s="177">
        <v>4</v>
      </c>
      <c r="J16" s="177"/>
      <c r="K16" s="177">
        <v>0.55200000000000005</v>
      </c>
    </row>
    <row r="17" spans="1:11" ht="33.75" customHeight="1">
      <c r="A17" s="218">
        <v>6</v>
      </c>
      <c r="B17" s="205" t="s">
        <v>243</v>
      </c>
      <c r="C17" s="205">
        <v>4</v>
      </c>
      <c r="D17" s="177">
        <f>0.736*1.04</f>
        <v>0.76544000000000001</v>
      </c>
      <c r="E17" s="177">
        <f t="shared" si="0"/>
        <v>3.06176</v>
      </c>
      <c r="F17" s="205"/>
      <c r="G17" s="205"/>
      <c r="H17" s="177" t="s">
        <v>232</v>
      </c>
      <c r="I17" s="177">
        <v>4</v>
      </c>
      <c r="J17" s="177"/>
      <c r="K17" s="177">
        <v>0.72</v>
      </c>
    </row>
    <row r="18" spans="1:11" ht="33.75" customHeight="1">
      <c r="A18" s="218">
        <v>7</v>
      </c>
      <c r="B18" s="205" t="s">
        <v>244</v>
      </c>
      <c r="C18" s="205">
        <v>1</v>
      </c>
      <c r="D18" s="177">
        <f>2.235*1.04</f>
        <v>2.3243999999999998</v>
      </c>
      <c r="E18" s="177">
        <f t="shared" si="0"/>
        <v>2.3243999999999998</v>
      </c>
      <c r="F18" s="205"/>
      <c r="G18" s="205"/>
      <c r="H18" s="205" t="s">
        <v>233</v>
      </c>
      <c r="I18" s="205">
        <v>4</v>
      </c>
      <c r="J18" s="205"/>
      <c r="K18" s="177">
        <v>0.504</v>
      </c>
    </row>
    <row r="19" spans="1:11" ht="33.75" customHeight="1">
      <c r="A19" s="218">
        <v>8</v>
      </c>
      <c r="B19" s="205" t="s">
        <v>245</v>
      </c>
      <c r="C19" s="205">
        <v>1</v>
      </c>
      <c r="D19" s="177">
        <f>0.728*1.04</f>
        <v>0.75712000000000002</v>
      </c>
      <c r="E19" s="177">
        <f t="shared" si="0"/>
        <v>0.75712000000000002</v>
      </c>
      <c r="F19" s="205"/>
      <c r="G19" s="205"/>
      <c r="H19" s="213" t="s">
        <v>234</v>
      </c>
      <c r="I19" s="214">
        <v>1</v>
      </c>
      <c r="J19" s="176"/>
      <c r="K19" s="177">
        <v>0.17399999999999999</v>
      </c>
    </row>
    <row r="20" spans="1:11" ht="30">
      <c r="A20" s="218"/>
      <c r="B20" s="205"/>
      <c r="C20" s="205"/>
      <c r="D20" s="177"/>
      <c r="E20" s="177"/>
      <c r="F20" s="205"/>
      <c r="G20" s="205"/>
      <c r="H20" s="205" t="s">
        <v>235</v>
      </c>
      <c r="I20" s="205">
        <v>1</v>
      </c>
      <c r="J20" s="205"/>
      <c r="K20" s="177">
        <v>1.6639999999999999</v>
      </c>
    </row>
    <row r="21" spans="1:11">
      <c r="B21" s="205" t="s">
        <v>110</v>
      </c>
      <c r="C21" s="205"/>
      <c r="D21" s="205"/>
      <c r="E21" s="177">
        <f>E9+E11+E12+E14+E15+E17+E18+E19</f>
        <v>50.644880000000008</v>
      </c>
      <c r="F21" s="205"/>
      <c r="G21" s="205"/>
      <c r="H21" s="205" t="s">
        <v>236</v>
      </c>
      <c r="I21" s="205">
        <v>1</v>
      </c>
      <c r="J21" s="205"/>
      <c r="K21" s="177">
        <v>1.9350000000000001</v>
      </c>
    </row>
    <row r="22" spans="1:11" ht="60">
      <c r="B22" s="217" t="s">
        <v>247</v>
      </c>
      <c r="C22" s="205"/>
      <c r="D22" s="205"/>
      <c r="E22" s="216">
        <f>E10+E13+E16</f>
        <v>4.8879999999999999</v>
      </c>
      <c r="F22" s="205"/>
      <c r="G22" s="177"/>
      <c r="H22" s="205" t="s">
        <v>237</v>
      </c>
      <c r="I22" s="205"/>
      <c r="J22" s="205"/>
      <c r="K22" s="177">
        <v>2</v>
      </c>
    </row>
    <row r="23" spans="1:11" ht="15.75" thickBot="1">
      <c r="B23" s="219" t="s">
        <v>250</v>
      </c>
      <c r="C23" s="220"/>
      <c r="D23" s="220"/>
      <c r="E23" s="221">
        <f>E21-E22</f>
        <v>45.75688000000001</v>
      </c>
      <c r="G23" s="24"/>
      <c r="H23" s="205" t="s">
        <v>110</v>
      </c>
      <c r="I23" s="205"/>
      <c r="J23" s="205"/>
      <c r="K23" s="177">
        <f>SUM(K11:K22)</f>
        <v>19.401</v>
      </c>
    </row>
    <row r="24" spans="1:11" ht="19.5" thickBot="1">
      <c r="B24" s="225" t="s">
        <v>249</v>
      </c>
      <c r="C24" s="229"/>
      <c r="D24" s="229"/>
      <c r="E24" s="230">
        <f>E22+E23*ФОТ!L73</f>
        <v>20.116030075196285</v>
      </c>
      <c r="H24" s="246" t="s">
        <v>146</v>
      </c>
      <c r="I24" s="247"/>
      <c r="J24" s="247"/>
      <c r="K24" s="248">
        <f>K23*ФОТ!L73</f>
        <v>6.4567123346015514</v>
      </c>
    </row>
    <row r="25" spans="1:11" ht="20.25" thickTop="1" thickBot="1">
      <c r="B25" s="228" t="s">
        <v>251</v>
      </c>
      <c r="C25" s="226"/>
      <c r="D25" s="226"/>
      <c r="E25" s="227">
        <f>E23*ФОТ!M73</f>
        <v>17.85974361906359</v>
      </c>
      <c r="H25" s="243" t="s">
        <v>148</v>
      </c>
      <c r="I25" s="244"/>
      <c r="J25" s="244"/>
      <c r="K25" s="245">
        <f>K23*ФОТ!M73</f>
        <v>7.5725636440564275</v>
      </c>
    </row>
    <row r="28" spans="1:11" ht="30">
      <c r="B28" s="175" t="s">
        <v>111</v>
      </c>
      <c r="C28" s="175"/>
      <c r="D28" s="175" t="s">
        <v>274</v>
      </c>
      <c r="E28" s="205"/>
    </row>
    <row r="29" spans="1:11">
      <c r="B29" s="205" t="s">
        <v>272</v>
      </c>
      <c r="C29" s="205"/>
      <c r="D29" s="177">
        <v>8</v>
      </c>
      <c r="E29" s="205"/>
    </row>
    <row r="30" spans="1:11" ht="60">
      <c r="B30" s="205" t="s">
        <v>273</v>
      </c>
      <c r="C30" s="205"/>
      <c r="D30" s="177">
        <v>100</v>
      </c>
      <c r="E30" s="205"/>
    </row>
    <row r="31" spans="1:11">
      <c r="B31" s="205" t="s">
        <v>275</v>
      </c>
      <c r="C31" s="205"/>
      <c r="D31" s="177">
        <v>193.1</v>
      </c>
      <c r="E31" s="205"/>
    </row>
    <row r="32" spans="1:11" ht="45">
      <c r="B32" s="205" t="s">
        <v>276</v>
      </c>
      <c r="C32" s="205"/>
      <c r="D32" s="177"/>
      <c r="E32" s="205"/>
    </row>
    <row r="33" spans="2:9">
      <c r="B33" s="205"/>
      <c r="C33" s="205"/>
      <c r="D33" s="205"/>
      <c r="E33" s="205"/>
    </row>
    <row r="34" spans="2:9">
      <c r="B34" s="205" t="s">
        <v>110</v>
      </c>
      <c r="C34" s="205"/>
      <c r="D34" s="177">
        <f>D29+D30+D31+D32</f>
        <v>301.10000000000002</v>
      </c>
      <c r="E34" s="205"/>
    </row>
    <row r="35" spans="2:9" ht="15.75" thickBot="1">
      <c r="B35" s="205"/>
      <c r="C35" s="205"/>
      <c r="D35" s="205"/>
      <c r="E35" s="205"/>
      <c r="G35" s="28"/>
    </row>
    <row r="36" spans="2:9" ht="19.5" thickBot="1">
      <c r="B36" s="246" t="s">
        <v>249</v>
      </c>
      <c r="C36" s="242"/>
      <c r="D36" s="248">
        <f>D34*ФОТ!L73</f>
        <v>100.20700396621449</v>
      </c>
      <c r="E36" s="205"/>
      <c r="I36" s="24"/>
    </row>
    <row r="37" spans="2:9" ht="19.5" thickBot="1">
      <c r="B37" s="243" t="s">
        <v>251</v>
      </c>
      <c r="C37" s="247"/>
      <c r="D37" s="245">
        <f>D34*0.15</f>
        <v>45.164999999999999</v>
      </c>
      <c r="E37" s="205"/>
    </row>
    <row r="38" spans="2:9">
      <c r="B38" s="205"/>
      <c r="C38" s="205"/>
      <c r="D38" s="205"/>
      <c r="E38" s="205"/>
      <c r="F38" s="24"/>
    </row>
    <row r="39" spans="2:9">
      <c r="B39" s="205"/>
      <c r="C39" s="205"/>
      <c r="D39" s="205"/>
      <c r="E39" s="205"/>
    </row>
    <row r="40" spans="2:9">
      <c r="B40" s="205"/>
      <c r="C40" s="205"/>
      <c r="D40" s="205"/>
      <c r="E40" s="205"/>
    </row>
    <row r="41" spans="2:9">
      <c r="B41" s="205"/>
      <c r="C41" s="205"/>
      <c r="D41" s="205"/>
      <c r="E41" s="205"/>
    </row>
    <row r="42" spans="2:9">
      <c r="B42" s="205"/>
      <c r="C42" s="205"/>
      <c r="D42" s="205"/>
      <c r="E42" s="205"/>
    </row>
    <row r="43" spans="2:9">
      <c r="B43" s="205"/>
      <c r="C43" s="205"/>
      <c r="D43" s="205"/>
      <c r="E43" s="205"/>
    </row>
    <row r="44" spans="2:9">
      <c r="B44" s="205"/>
      <c r="C44" s="205"/>
      <c r="D44" s="205"/>
      <c r="E44" s="205"/>
    </row>
    <row r="45" spans="2:9">
      <c r="B45" s="205"/>
      <c r="C45" s="205"/>
      <c r="D45" s="205"/>
      <c r="E45" s="205"/>
    </row>
    <row r="46" spans="2:9">
      <c r="B46" s="205"/>
      <c r="C46" s="205"/>
      <c r="D46" s="205"/>
      <c r="E46" s="205"/>
    </row>
    <row r="47" spans="2:9">
      <c r="B47" s="205"/>
      <c r="C47" s="205"/>
      <c r="D47" s="205"/>
      <c r="E47" s="205"/>
    </row>
  </sheetData>
  <mergeCells count="3">
    <mergeCell ref="B6:E6"/>
    <mergeCell ref="H8:K8"/>
    <mergeCell ref="B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ВОДА 2016-2018</vt:lpstr>
      <vt:lpstr>СТОКИ 2016-2018</vt:lpstr>
      <vt:lpstr>Аренда</vt:lpstr>
      <vt:lpstr>Элэн</vt:lpstr>
      <vt:lpstr>амортизация</vt:lpstr>
      <vt:lpstr>тр-ный налог</vt:lpstr>
      <vt:lpstr>ФОТ</vt:lpstr>
      <vt:lpstr>АВР, ремонт</vt:lpstr>
      <vt:lpstr>Цеховые</vt:lpstr>
      <vt:lpstr>Прочие прямые</vt:lpstr>
      <vt:lpstr>ОХР</vt:lpstr>
      <vt:lpstr>Лист1</vt:lpstr>
      <vt:lpstr>'ВОДА 2016-2018'!Заголовки_для_печати</vt:lpstr>
      <vt:lpstr>'СТОКИ 2016-2018'!Заголовки_для_печати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2019-01-18T11:53:52Z</dcterms:modified>
</cp:coreProperties>
</file>