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130" yWindow="-60" windowWidth="9195" windowHeight="9765" tabRatio="887"/>
  </bookViews>
  <sheets>
    <sheet name="ВОДА 2016-2018" sheetId="1" r:id="rId1"/>
    <sheet name="СТОКИ 2016-2018" sheetId="10" r:id="rId2"/>
    <sheet name="Элэн" sheetId="3" r:id="rId3"/>
    <sheet name="амортизация" sheetId="5" r:id="rId4"/>
    <sheet name="тр-ный налог" sheetId="7" r:id="rId5"/>
    <sheet name="ФОТ" sheetId="8" r:id="rId6"/>
    <sheet name="АВР, ремонт" sheetId="9" r:id="rId7"/>
    <sheet name="Цеховые" sheetId="11" r:id="rId8"/>
    <sheet name="Прочие прямые" sheetId="12" r:id="rId9"/>
    <sheet name="ОХР" sheetId="13" r:id="rId10"/>
  </sheets>
  <definedNames>
    <definedName name="_IV70000">#REF!</definedName>
    <definedName name="_IV80000">#REF!</definedName>
    <definedName name="_IV99999">#REF!</definedName>
  </definedNames>
  <calcPr calcId="145621"/>
</workbook>
</file>

<file path=xl/calcChain.xml><?xml version="1.0" encoding="utf-8"?>
<calcChain xmlns="http://schemas.openxmlformats.org/spreadsheetml/2006/main">
  <c r="R18" i="10" l="1"/>
  <c r="R85" i="10"/>
  <c r="R16" i="10" s="1"/>
  <c r="R70" i="10"/>
  <c r="R8" i="10"/>
  <c r="M18" i="10"/>
  <c r="M85" i="10"/>
  <c r="M88" i="10" s="1"/>
  <c r="M89" i="10" s="1"/>
  <c r="M8" i="10"/>
  <c r="R88" i="10"/>
  <c r="R89" i="10" s="1"/>
  <c r="W74" i="10"/>
  <c r="X67" i="10"/>
  <c r="W75" i="1"/>
  <c r="Z66" i="1"/>
  <c r="W71" i="1"/>
  <c r="O64" i="10"/>
  <c r="Q64" i="10"/>
  <c r="T64" i="10" s="1"/>
  <c r="V64" i="10" s="1"/>
  <c r="AB64" i="10" s="1"/>
  <c r="AD64" i="10" s="1"/>
  <c r="M68" i="10"/>
  <c r="M67" i="10" s="1"/>
  <c r="Z67" i="10"/>
  <c r="X69" i="1"/>
  <c r="X68" i="1"/>
  <c r="W68" i="1" s="1"/>
  <c r="W69" i="1" s="1"/>
  <c r="X66" i="1"/>
  <c r="Y18" i="10"/>
  <c r="Z69" i="1"/>
  <c r="Z68" i="1"/>
  <c r="AB68" i="10"/>
  <c r="Y19" i="1"/>
  <c r="Z101" i="10"/>
  <c r="Z104" i="10" s="1"/>
  <c r="Y101" i="10"/>
  <c r="Y104" i="10"/>
  <c r="X101" i="10"/>
  <c r="X102" i="10" s="1"/>
  <c r="AC18" i="10"/>
  <c r="Z71" i="1"/>
  <c r="X71" i="1"/>
  <c r="X75" i="1"/>
  <c r="X74" i="1"/>
  <c r="W66" i="1"/>
  <c r="L62" i="1"/>
  <c r="Z74" i="1"/>
  <c r="X65" i="1"/>
  <c r="X64" i="1"/>
  <c r="X60" i="1" s="1"/>
  <c r="M66" i="1"/>
  <c r="M64" i="1" s="1"/>
  <c r="M61" i="1" s="1"/>
  <c r="M60" i="1" s="1"/>
  <c r="L61" i="1"/>
  <c r="Z65" i="1"/>
  <c r="Z64" i="1" s="1"/>
  <c r="AD68" i="10"/>
  <c r="AA68" i="10" s="1"/>
  <c r="Z102" i="10"/>
  <c r="X72" i="1"/>
  <c r="L69" i="1"/>
  <c r="L65" i="1"/>
  <c r="L6" i="1"/>
  <c r="L71" i="1" s="1"/>
  <c r="L67" i="1"/>
  <c r="L7" i="1"/>
  <c r="L8" i="1" s="1"/>
  <c r="O65" i="1"/>
  <c r="O64" i="1" s="1"/>
  <c r="O66" i="1"/>
  <c r="Q66" i="1" s="1"/>
  <c r="O62" i="1"/>
  <c r="Z75" i="1"/>
  <c r="Z72" i="1" s="1"/>
  <c r="W72" i="1" s="1"/>
  <c r="Z104" i="1"/>
  <c r="Z107" i="1"/>
  <c r="Y104" i="1"/>
  <c r="Y107" i="1" s="1"/>
  <c r="X104" i="1"/>
  <c r="X105" i="1"/>
  <c r="I15" i="1"/>
  <c r="J15" i="1" s="1"/>
  <c r="N4" i="1"/>
  <c r="O4" i="1"/>
  <c r="M4" i="1"/>
  <c r="H63" i="1"/>
  <c r="N48" i="10"/>
  <c r="O48" i="10"/>
  <c r="Q48" i="10" s="1"/>
  <c r="O39" i="10"/>
  <c r="Q39" i="10" s="1"/>
  <c r="N39" i="10" s="1"/>
  <c r="O38" i="10"/>
  <c r="N38" i="10"/>
  <c r="O58" i="10"/>
  <c r="Q58" i="10"/>
  <c r="L52" i="10"/>
  <c r="L50" i="10" s="1"/>
  <c r="L53" i="10" s="1"/>
  <c r="L48" i="10"/>
  <c r="M49" i="1"/>
  <c r="M59" i="1"/>
  <c r="O59" i="1"/>
  <c r="Q59" i="1"/>
  <c r="N49" i="1"/>
  <c r="O49" i="1" s="1"/>
  <c r="Q49" i="1" s="1"/>
  <c r="M53" i="1"/>
  <c r="M51" i="1" s="1"/>
  <c r="M54" i="1" s="1"/>
  <c r="M51" i="8"/>
  <c r="L51" i="8"/>
  <c r="G51" i="8"/>
  <c r="M47" i="8"/>
  <c r="M46" i="8"/>
  <c r="L47" i="8"/>
  <c r="L46" i="8"/>
  <c r="D48" i="8"/>
  <c r="D33" i="8"/>
  <c r="N29" i="8"/>
  <c r="T29" i="8" s="1"/>
  <c r="V29" i="8" s="1"/>
  <c r="V33" i="8" s="1"/>
  <c r="M41" i="8"/>
  <c r="L42" i="8"/>
  <c r="L41" i="8"/>
  <c r="G42" i="8"/>
  <c r="G41" i="8"/>
  <c r="G36" i="8"/>
  <c r="L37" i="8"/>
  <c r="T37" i="8" s="1"/>
  <c r="V37" i="8" s="1"/>
  <c r="C83" i="8" s="1"/>
  <c r="L36" i="8"/>
  <c r="D43" i="8"/>
  <c r="N7" i="8"/>
  <c r="T7" i="8" s="1"/>
  <c r="V7" i="8" s="1"/>
  <c r="N6" i="8"/>
  <c r="T6" i="8"/>
  <c r="V6" i="8" s="1"/>
  <c r="N5" i="8"/>
  <c r="T5" i="8"/>
  <c r="V5" i="8"/>
  <c r="N4" i="8"/>
  <c r="T4" i="8" s="1"/>
  <c r="V4" i="8" s="1"/>
  <c r="F83" i="8"/>
  <c r="F82" i="8"/>
  <c r="L35" i="10"/>
  <c r="L27" i="10"/>
  <c r="M36" i="1"/>
  <c r="M28" i="1"/>
  <c r="M35" i="1"/>
  <c r="O31" i="10"/>
  <c r="Q31" i="10"/>
  <c r="O27" i="10"/>
  <c r="Q27" i="10" s="1"/>
  <c r="Q25" i="10" s="1"/>
  <c r="Q29" i="10" s="1"/>
  <c r="O35" i="10"/>
  <c r="O30" i="10"/>
  <c r="Q30" i="10" s="1"/>
  <c r="O65" i="10"/>
  <c r="Q65" i="10"/>
  <c r="Q61" i="10" s="1"/>
  <c r="N34" i="10"/>
  <c r="Q34" i="10"/>
  <c r="O34" i="10"/>
  <c r="L39" i="10"/>
  <c r="L38" i="10"/>
  <c r="L37" i="10"/>
  <c r="N26" i="10"/>
  <c r="L72" i="10"/>
  <c r="O72" i="10" s="1"/>
  <c r="L65" i="10"/>
  <c r="L61" i="10" s="1"/>
  <c r="L62" i="10" s="1"/>
  <c r="L34" i="10"/>
  <c r="L26" i="10"/>
  <c r="Q26" i="10"/>
  <c r="L15" i="10"/>
  <c r="N15" i="10" s="1"/>
  <c r="O15" i="10" s="1"/>
  <c r="Q15" i="10" s="1"/>
  <c r="T15" i="10" s="1"/>
  <c r="L14" i="10"/>
  <c r="N14" i="10" s="1"/>
  <c r="O14" i="10" s="1"/>
  <c r="Q14" i="10" s="1"/>
  <c r="T14" i="10" s="1"/>
  <c r="L12" i="10"/>
  <c r="N12" i="10"/>
  <c r="O12" i="10" s="1"/>
  <c r="Q12" i="10" s="1"/>
  <c r="T12" i="10" s="1"/>
  <c r="L10" i="10"/>
  <c r="N10" i="10" s="1"/>
  <c r="O10" i="10" s="1"/>
  <c r="Q10" i="10" s="1"/>
  <c r="T10" i="10" s="1"/>
  <c r="L8" i="10"/>
  <c r="N8" i="10" s="1"/>
  <c r="O8" i="10" s="1"/>
  <c r="L7" i="10"/>
  <c r="N7" i="10" s="1"/>
  <c r="O7" i="10" s="1"/>
  <c r="Q7" i="10" s="1"/>
  <c r="T7" i="10" s="1"/>
  <c r="L6" i="10"/>
  <c r="N6" i="10" s="1"/>
  <c r="O6" i="10" s="1"/>
  <c r="Q6" i="10" s="1"/>
  <c r="T6" i="10" s="1"/>
  <c r="J18" i="10"/>
  <c r="J70" i="10"/>
  <c r="I18" i="10"/>
  <c r="I70" i="10"/>
  <c r="H18" i="10"/>
  <c r="H70" i="10"/>
  <c r="H62" i="10"/>
  <c r="I15" i="10"/>
  <c r="J15" i="10" s="1"/>
  <c r="I14" i="10"/>
  <c r="J14" i="10"/>
  <c r="I12" i="10"/>
  <c r="J12" i="10" s="1"/>
  <c r="I10" i="10"/>
  <c r="J10" i="10"/>
  <c r="I8" i="10"/>
  <c r="J8" i="10" s="1"/>
  <c r="I7" i="10"/>
  <c r="J7" i="10"/>
  <c r="I6" i="10"/>
  <c r="J6" i="10" s="1"/>
  <c r="P51" i="1"/>
  <c r="P45" i="1"/>
  <c r="M39" i="1"/>
  <c r="I40" i="1"/>
  <c r="J40" i="1" s="1"/>
  <c r="O40" i="1" s="1"/>
  <c r="I39" i="1"/>
  <c r="J39" i="1" s="1"/>
  <c r="O39" i="1" s="1"/>
  <c r="N35" i="1"/>
  <c r="O36" i="1"/>
  <c r="Q36" i="1" s="1"/>
  <c r="Q34" i="1" s="1"/>
  <c r="O35" i="1"/>
  <c r="O31" i="1"/>
  <c r="O32" i="1"/>
  <c r="N27" i="1"/>
  <c r="O28" i="1"/>
  <c r="Q28" i="1"/>
  <c r="O27" i="1"/>
  <c r="Q27" i="1" s="1"/>
  <c r="Q26" i="1" s="1"/>
  <c r="N15" i="1"/>
  <c r="O15" i="1"/>
  <c r="N13" i="1"/>
  <c r="O13" i="1" s="1"/>
  <c r="O74" i="1" s="1"/>
  <c r="N11" i="1"/>
  <c r="N9" i="1"/>
  <c r="N7" i="1"/>
  <c r="O7" i="1" s="1"/>
  <c r="N6" i="1"/>
  <c r="N5" i="1"/>
  <c r="O5" i="1" s="1"/>
  <c r="Q5" i="1" s="1"/>
  <c r="T5" i="1" s="1"/>
  <c r="N3" i="1"/>
  <c r="M72" i="1"/>
  <c r="I63" i="1"/>
  <c r="J63" i="1"/>
  <c r="K63" i="1"/>
  <c r="M62" i="1"/>
  <c r="M38" i="1"/>
  <c r="M32" i="1"/>
  <c r="M27" i="1"/>
  <c r="M15" i="1"/>
  <c r="M13" i="1"/>
  <c r="M11" i="1"/>
  <c r="M9" i="1"/>
  <c r="M7" i="1"/>
  <c r="M6" i="1"/>
  <c r="M5" i="1"/>
  <c r="M3" i="1"/>
  <c r="J19" i="1"/>
  <c r="J72" i="1"/>
  <c r="J8" i="1"/>
  <c r="I19" i="1"/>
  <c r="I72" i="1"/>
  <c r="I8" i="1"/>
  <c r="H19" i="1"/>
  <c r="H72" i="1"/>
  <c r="H8" i="1"/>
  <c r="E15" i="9"/>
  <c r="E10" i="9"/>
  <c r="E18" i="9"/>
  <c r="E14" i="9"/>
  <c r="E12" i="9"/>
  <c r="E11" i="9"/>
  <c r="D34" i="11"/>
  <c r="D37" i="11" s="1"/>
  <c r="K23" i="11"/>
  <c r="C18" i="13"/>
  <c r="C20" i="13"/>
  <c r="F7" i="7"/>
  <c r="F6" i="7"/>
  <c r="C8" i="12"/>
  <c r="D19" i="11"/>
  <c r="E19" i="11" s="1"/>
  <c r="D18" i="11"/>
  <c r="E18" i="11" s="1"/>
  <c r="D17" i="11"/>
  <c r="E17" i="11" s="1"/>
  <c r="D15" i="11"/>
  <c r="E15" i="11"/>
  <c r="D14" i="11"/>
  <c r="E14" i="11" s="1"/>
  <c r="D12" i="11"/>
  <c r="E12" i="11"/>
  <c r="D11" i="11"/>
  <c r="E11" i="11" s="1"/>
  <c r="D9" i="11"/>
  <c r="E9" i="11"/>
  <c r="G23" i="5"/>
  <c r="G25" i="5" s="1"/>
  <c r="G17" i="5"/>
  <c r="H15" i="5"/>
  <c r="H14" i="5"/>
  <c r="H13" i="5"/>
  <c r="H12" i="5"/>
  <c r="H11" i="5"/>
  <c r="H10" i="5"/>
  <c r="D26" i="8"/>
  <c r="D38" i="8"/>
  <c r="O11" i="1"/>
  <c r="O12" i="1"/>
  <c r="O14" i="1"/>
  <c r="C8" i="3"/>
  <c r="C10" i="3"/>
  <c r="C12" i="3"/>
  <c r="C14" i="3"/>
  <c r="C16" i="3"/>
  <c r="C18" i="3"/>
  <c r="C20" i="3"/>
  <c r="C22" i="3"/>
  <c r="C24" i="3"/>
  <c r="C26" i="3"/>
  <c r="C28" i="3"/>
  <c r="C30" i="3"/>
  <c r="P50" i="10"/>
  <c r="P44" i="10"/>
  <c r="P31" i="10"/>
  <c r="L33" i="10"/>
  <c r="L36" i="10"/>
  <c r="T51" i="8"/>
  <c r="V51" i="8"/>
  <c r="V52" i="8"/>
  <c r="V73" i="8" s="1"/>
  <c r="T41" i="8"/>
  <c r="V41" i="8"/>
  <c r="T46" i="8"/>
  <c r="V46" i="8" s="1"/>
  <c r="V48" i="8" s="1"/>
  <c r="C21" i="13"/>
  <c r="M8" i="1"/>
  <c r="O26" i="10"/>
  <c r="O25" i="10" s="1"/>
  <c r="L25" i="10"/>
  <c r="L29" i="10" s="1"/>
  <c r="L18" i="10" s="1"/>
  <c r="L16" i="10" s="1"/>
  <c r="L85" i="10" s="1"/>
  <c r="L88" i="10" s="1"/>
  <c r="L89" i="10" s="1"/>
  <c r="Q35" i="1"/>
  <c r="L70" i="10"/>
  <c r="L63" i="10"/>
  <c r="L60" i="10" s="1"/>
  <c r="L59" i="10" s="1"/>
  <c r="T36" i="8"/>
  <c r="V36" i="8" s="1"/>
  <c r="T42" i="8"/>
  <c r="V42" i="8"/>
  <c r="T47" i="8"/>
  <c r="V47" i="8" s="1"/>
  <c r="C33" i="3"/>
  <c r="D16" i="11"/>
  <c r="E16" i="11"/>
  <c r="O26" i="1"/>
  <c r="O30" i="1"/>
  <c r="I16" i="10"/>
  <c r="I85" i="10"/>
  <c r="I88" i="10" s="1"/>
  <c r="I89" i="10" s="1"/>
  <c r="O33" i="10"/>
  <c r="O36" i="10"/>
  <c r="Y105" i="1"/>
  <c r="Z105" i="1"/>
  <c r="D73" i="8"/>
  <c r="Q63" i="10"/>
  <c r="Q60" i="10" s="1"/>
  <c r="O61" i="10"/>
  <c r="D13" i="11"/>
  <c r="E13" i="11" s="1"/>
  <c r="E22" i="11" s="1"/>
  <c r="N65" i="10"/>
  <c r="O63" i="10"/>
  <c r="M34" i="1"/>
  <c r="M37" i="1" s="1"/>
  <c r="N58" i="10"/>
  <c r="E17" i="9"/>
  <c r="M63" i="1"/>
  <c r="O34" i="1"/>
  <c r="J17" i="1"/>
  <c r="J88" i="1" s="1"/>
  <c r="J91" i="1" s="1"/>
  <c r="J92" i="1" s="1"/>
  <c r="Q31" i="1"/>
  <c r="N31" i="1" s="1"/>
  <c r="Q4" i="1"/>
  <c r="T4" i="1"/>
  <c r="I17" i="1"/>
  <c r="I88" i="1"/>
  <c r="I91" i="1" s="1"/>
  <c r="I92" i="1" s="1"/>
  <c r="Q32" i="1"/>
  <c r="N32" i="1"/>
  <c r="M26" i="1"/>
  <c r="M30" i="1" s="1"/>
  <c r="M19" i="1" s="1"/>
  <c r="M17" i="1" s="1"/>
  <c r="M88" i="1" s="1"/>
  <c r="M91" i="1" s="1"/>
  <c r="M92" i="1" s="1"/>
  <c r="M93" i="1" s="1"/>
  <c r="H17" i="1"/>
  <c r="H88" i="1" s="1"/>
  <c r="H91" i="1" s="1"/>
  <c r="H92" i="1" s="1"/>
  <c r="N31" i="10"/>
  <c r="Q35" i="10"/>
  <c r="Q33" i="10" s="1"/>
  <c r="J16" i="10"/>
  <c r="J85" i="10" s="1"/>
  <c r="J88" i="10" s="1"/>
  <c r="J89" i="10" s="1"/>
  <c r="H16" i="10"/>
  <c r="H85" i="10" s="1"/>
  <c r="H88" i="10" s="1"/>
  <c r="H89" i="10" s="1"/>
  <c r="O9" i="1"/>
  <c r="D10" i="11"/>
  <c r="E10" i="11"/>
  <c r="F9" i="7"/>
  <c r="T78" i="10"/>
  <c r="V78" i="10"/>
  <c r="AB78" i="10"/>
  <c r="Q81" i="1"/>
  <c r="V101" i="10"/>
  <c r="V104" i="10"/>
  <c r="U101" i="10"/>
  <c r="U104" i="10" s="1"/>
  <c r="T101" i="10"/>
  <c r="T102" i="10" s="1"/>
  <c r="P58" i="10"/>
  <c r="P48" i="10" s="1"/>
  <c r="P54" i="10"/>
  <c r="U18" i="10"/>
  <c r="V43" i="8"/>
  <c r="O60" i="10"/>
  <c r="O59" i="10"/>
  <c r="N63" i="10"/>
  <c r="N64" i="10" s="1"/>
  <c r="AD78" i="10"/>
  <c r="AA78" i="10" s="1"/>
  <c r="G9" i="7"/>
  <c r="G8" i="7"/>
  <c r="V4" i="1"/>
  <c r="AC4" i="1"/>
  <c r="N8" i="1"/>
  <c r="O3" i="1"/>
  <c r="O6" i="1"/>
  <c r="O37" i="1"/>
  <c r="AB67" i="10"/>
  <c r="AD67" i="10" s="1"/>
  <c r="S78" i="10"/>
  <c r="U102" i="10"/>
  <c r="V102" i="10"/>
  <c r="AE4" i="1"/>
  <c r="AB4" i="1"/>
  <c r="S4" i="1"/>
  <c r="P59" i="1"/>
  <c r="P49" i="1"/>
  <c r="P32" i="1"/>
  <c r="O63" i="1"/>
  <c r="P55" i="1"/>
  <c r="Q57" i="1" s="1"/>
  <c r="T65" i="10"/>
  <c r="T64" i="8"/>
  <c r="V64" i="8"/>
  <c r="V69" i="8" s="1"/>
  <c r="S15" i="1"/>
  <c r="T15" i="1" s="1"/>
  <c r="V15" i="1" s="1"/>
  <c r="AB69" i="10"/>
  <c r="V65" i="10"/>
  <c r="AB65" i="10" s="1"/>
  <c r="T63" i="10"/>
  <c r="T59" i="10" s="1"/>
  <c r="AB15" i="1"/>
  <c r="AC15" i="1" s="1"/>
  <c r="AE15" i="1" s="1"/>
  <c r="Q15" i="1"/>
  <c r="AB66" i="10"/>
  <c r="AA66" i="10" s="1"/>
  <c r="AD69" i="10"/>
  <c r="AD66" i="10" s="1"/>
  <c r="S65" i="10"/>
  <c r="Q13" i="1"/>
  <c r="T13" i="1" s="1"/>
  <c r="AD19" i="1"/>
  <c r="T104" i="1"/>
  <c r="T105" i="1"/>
  <c r="U104" i="1"/>
  <c r="U107" i="1"/>
  <c r="V104" i="1"/>
  <c r="V107" i="1"/>
  <c r="U19" i="1"/>
  <c r="U105" i="1"/>
  <c r="V105" i="1"/>
  <c r="Q3" i="1"/>
  <c r="T3" i="1"/>
  <c r="V3" i="1" s="1"/>
  <c r="Q22" i="3"/>
  <c r="S22" i="3" s="1"/>
  <c r="K22" i="3"/>
  <c r="M22" i="3" s="1"/>
  <c r="S17" i="3"/>
  <c r="M17" i="3"/>
  <c r="S16" i="3"/>
  <c r="M16" i="3"/>
  <c r="S15" i="3"/>
  <c r="M15" i="3"/>
  <c r="S14" i="3"/>
  <c r="M14" i="3"/>
  <c r="S13" i="3"/>
  <c r="M13" i="3"/>
  <c r="S12" i="3"/>
  <c r="M12" i="3"/>
  <c r="S11" i="3"/>
  <c r="M11" i="3"/>
  <c r="S10" i="3"/>
  <c r="M10" i="3"/>
  <c r="S9" i="3"/>
  <c r="M9" i="3"/>
  <c r="S8" i="3"/>
  <c r="M8" i="3"/>
  <c r="T81" i="1"/>
  <c r="V81" i="1" s="1"/>
  <c r="V12" i="1"/>
  <c r="S12" i="1" s="1"/>
  <c r="V14" i="1"/>
  <c r="S14" i="1" s="1"/>
  <c r="AB14" i="1"/>
  <c r="AB12" i="1"/>
  <c r="Q6" i="1"/>
  <c r="T6" i="1" s="1"/>
  <c r="Q9" i="1"/>
  <c r="Q75" i="1" s="1"/>
  <c r="T75" i="1" s="1"/>
  <c r="Q62" i="1"/>
  <c r="N62" i="1"/>
  <c r="N63" i="1" s="1"/>
  <c r="Q11" i="1"/>
  <c r="T11" i="1" s="1"/>
  <c r="AE67" i="1"/>
  <c r="AC67" i="1"/>
  <c r="AB67" i="1"/>
  <c r="O37" i="10"/>
  <c r="Q38" i="10"/>
  <c r="Q37" i="10"/>
  <c r="N37" i="10"/>
  <c r="AB63" i="10" l="1"/>
  <c r="AD65" i="10"/>
  <c r="AD63" i="10" s="1"/>
  <c r="AD59" i="10" s="1"/>
  <c r="V11" i="1"/>
  <c r="AC11" i="1" s="1"/>
  <c r="S11" i="1"/>
  <c r="T74" i="1"/>
  <c r="V6" i="1"/>
  <c r="AC6" i="1" s="1"/>
  <c r="AC3" i="1"/>
  <c r="S3" i="1"/>
  <c r="V13" i="1"/>
  <c r="AC13" i="1" s="1"/>
  <c r="AC81" i="1"/>
  <c r="S81" i="1"/>
  <c r="N60" i="10"/>
  <c r="Q59" i="10"/>
  <c r="N59" i="10" s="1"/>
  <c r="C82" i="8"/>
  <c r="V38" i="8"/>
  <c r="L90" i="10"/>
  <c r="U73" i="8"/>
  <c r="C73" i="8"/>
  <c r="O8" i="1"/>
  <c r="Q7" i="1"/>
  <c r="Q40" i="1"/>
  <c r="N40" i="1" s="1"/>
  <c r="S10" i="10"/>
  <c r="W10" i="10" s="1"/>
  <c r="V10" i="10"/>
  <c r="AB10" i="10" s="1"/>
  <c r="V15" i="10"/>
  <c r="AB15" i="10" s="1"/>
  <c r="N66" i="1"/>
  <c r="T66" i="1"/>
  <c r="Q63" i="1"/>
  <c r="O29" i="10"/>
  <c r="N25" i="10"/>
  <c r="N27" i="10" s="1"/>
  <c r="Q37" i="1"/>
  <c r="N37" i="1" s="1"/>
  <c r="N34" i="1"/>
  <c r="N36" i="1" s="1"/>
  <c r="V6" i="10"/>
  <c r="AB6" i="10" s="1"/>
  <c r="V12" i="10"/>
  <c r="AB12" i="10" s="1"/>
  <c r="N72" i="10"/>
  <c r="Q72" i="10"/>
  <c r="O70" i="10"/>
  <c r="N61" i="10"/>
  <c r="N62" i="10" s="1"/>
  <c r="O61" i="1"/>
  <c r="O89" i="10"/>
  <c r="Q89" i="10"/>
  <c r="O75" i="1"/>
  <c r="N75" i="1" s="1"/>
  <c r="O92" i="1"/>
  <c r="E21" i="11"/>
  <c r="E23" i="11" s="1"/>
  <c r="V5" i="1"/>
  <c r="AC5" i="1" s="1"/>
  <c r="S5" i="1"/>
  <c r="N26" i="1"/>
  <c r="N28" i="1" s="1"/>
  <c r="Q30" i="1"/>
  <c r="V7" i="10"/>
  <c r="AB7" i="10" s="1"/>
  <c r="S7" i="10"/>
  <c r="W7" i="10" s="1"/>
  <c r="W64" i="1"/>
  <c r="Z60" i="1"/>
  <c r="W60" i="1" s="1"/>
  <c r="T9" i="1"/>
  <c r="AA69" i="10"/>
  <c r="AA67" i="10" s="1"/>
  <c r="V63" i="10"/>
  <c r="V59" i="10" s="1"/>
  <c r="S59" i="10" s="1"/>
  <c r="N33" i="10"/>
  <c r="N35" i="10" s="1"/>
  <c r="Q36" i="10"/>
  <c r="Q74" i="1"/>
  <c r="O38" i="1"/>
  <c r="N39" i="1"/>
  <c r="Q39" i="1"/>
  <c r="Q38" i="1" s="1"/>
  <c r="Q8" i="10"/>
  <c r="O62" i="10"/>
  <c r="T71" i="10"/>
  <c r="V71" i="10" s="1"/>
  <c r="V14" i="10"/>
  <c r="AB14" i="10" s="1"/>
  <c r="V26" i="8"/>
  <c r="Y102" i="10"/>
  <c r="N30" i="10"/>
  <c r="Q65" i="1"/>
  <c r="N74" i="1" l="1"/>
  <c r="Q72" i="1"/>
  <c r="O72" i="1"/>
  <c r="O93" i="1"/>
  <c r="O91" i="1"/>
  <c r="Q92" i="1"/>
  <c r="O96" i="1"/>
  <c r="S12" i="10"/>
  <c r="W12" i="10" s="1"/>
  <c r="S63" i="10"/>
  <c r="S64" i="10" s="1"/>
  <c r="S15" i="10"/>
  <c r="W15" i="10" s="1"/>
  <c r="B73" i="8"/>
  <c r="L73" i="8"/>
  <c r="T72" i="1"/>
  <c r="V74" i="1"/>
  <c r="S74" i="1"/>
  <c r="AA65" i="10"/>
  <c r="AB71" i="10"/>
  <c r="AD71" i="10" s="1"/>
  <c r="AD14" i="10"/>
  <c r="AA14" i="10"/>
  <c r="X7" i="10"/>
  <c r="Z7" i="10" s="1"/>
  <c r="O60" i="1"/>
  <c r="AD12" i="10"/>
  <c r="AA12" i="10" s="1"/>
  <c r="AD15" i="10"/>
  <c r="AA15" i="10" s="1"/>
  <c r="T73" i="8"/>
  <c r="Y73" i="8" s="1"/>
  <c r="AB81" i="1"/>
  <c r="AE81" i="1"/>
  <c r="AB3" i="1"/>
  <c r="AE3" i="1"/>
  <c r="AB59" i="10"/>
  <c r="AA59" i="10" s="1"/>
  <c r="AA63" i="10"/>
  <c r="AA64" i="10" s="1"/>
  <c r="T8" i="10"/>
  <c r="Q64" i="1"/>
  <c r="T65" i="1"/>
  <c r="S14" i="10"/>
  <c r="W14" i="10" s="1"/>
  <c r="C78" i="8"/>
  <c r="O51" i="1" s="1"/>
  <c r="N38" i="1"/>
  <c r="N36" i="10"/>
  <c r="V9" i="1"/>
  <c r="AC9" i="1" s="1"/>
  <c r="S9" i="1"/>
  <c r="AA9" i="1" s="1"/>
  <c r="AD7" i="10"/>
  <c r="AA7" i="10" s="1"/>
  <c r="AE5" i="1"/>
  <c r="AB5" i="1" s="1"/>
  <c r="Q88" i="10"/>
  <c r="Q90" i="10"/>
  <c r="T89" i="10"/>
  <c r="T72" i="10"/>
  <c r="T70" i="10" s="1"/>
  <c r="Q70" i="10"/>
  <c r="N70" i="10" s="1"/>
  <c r="S6" i="10"/>
  <c r="W6" i="10" s="1"/>
  <c r="V66" i="1"/>
  <c r="AC66" i="1" s="1"/>
  <c r="AD10" i="10"/>
  <c r="AA10" i="10" s="1"/>
  <c r="T7" i="1"/>
  <c r="Q8" i="1"/>
  <c r="S13" i="1"/>
  <c r="S6" i="1"/>
  <c r="AB11" i="1"/>
  <c r="AC74" i="1"/>
  <c r="AE11" i="1"/>
  <c r="N30" i="1"/>
  <c r="E24" i="11"/>
  <c r="O90" i="10"/>
  <c r="O88" i="10"/>
  <c r="O93" i="10"/>
  <c r="Q62" i="10"/>
  <c r="AD6" i="10"/>
  <c r="AA6" i="10" s="1"/>
  <c r="N29" i="10"/>
  <c r="X10" i="10"/>
  <c r="Z10" i="10" s="1"/>
  <c r="AE13" i="1"/>
  <c r="AB13" i="1" s="1"/>
  <c r="AB6" i="1"/>
  <c r="AE6" i="1"/>
  <c r="N88" i="10" l="1"/>
  <c r="N89" i="10" s="1"/>
  <c r="O109" i="10"/>
  <c r="AE74" i="1"/>
  <c r="S66" i="1"/>
  <c r="O54" i="1"/>
  <c r="X73" i="8"/>
  <c r="I73" i="8"/>
  <c r="M73" i="8"/>
  <c r="N72" i="1"/>
  <c r="AE66" i="1"/>
  <c r="AB66" i="1"/>
  <c r="X14" i="10"/>
  <c r="Z14" i="10" s="1"/>
  <c r="V8" i="10"/>
  <c r="AB8" i="10" s="1"/>
  <c r="S8" i="10"/>
  <c r="W8" i="10" s="1"/>
  <c r="F87" i="8"/>
  <c r="C87" i="8"/>
  <c r="O44" i="10" s="1"/>
  <c r="X15" i="10"/>
  <c r="Z15" i="10" s="1"/>
  <c r="T92" i="1"/>
  <c r="Q93" i="1"/>
  <c r="Q91" i="1"/>
  <c r="V7" i="1"/>
  <c r="S7" i="1"/>
  <c r="S8" i="1" s="1"/>
  <c r="T8" i="1"/>
  <c r="V89" i="10"/>
  <c r="T88" i="10"/>
  <c r="V72" i="10"/>
  <c r="T90" i="10"/>
  <c r="X6" i="10"/>
  <c r="X68" i="10" s="1"/>
  <c r="AE9" i="1"/>
  <c r="V65" i="1"/>
  <c r="T64" i="1"/>
  <c r="H73" i="8"/>
  <c r="N91" i="1"/>
  <c r="N92" i="1" s="1"/>
  <c r="O112" i="1"/>
  <c r="Q61" i="1"/>
  <c r="N64" i="1"/>
  <c r="N65" i="1" s="1"/>
  <c r="I10" i="9"/>
  <c r="F78" i="8"/>
  <c r="D36" i="11"/>
  <c r="J5" i="11" s="1"/>
  <c r="K24" i="11"/>
  <c r="X12" i="10"/>
  <c r="Z12" i="10" s="1"/>
  <c r="X66" i="10" l="1"/>
  <c r="X59" i="10"/>
  <c r="V64" i="1"/>
  <c r="V60" i="1" s="1"/>
  <c r="AC65" i="1"/>
  <c r="Z6" i="10"/>
  <c r="Z68" i="10" s="1"/>
  <c r="AC7" i="1"/>
  <c r="V8" i="1"/>
  <c r="Q45" i="10"/>
  <c r="O45" i="10"/>
  <c r="N45" i="10"/>
  <c r="F79" i="8"/>
  <c r="I11" i="9"/>
  <c r="K25" i="11"/>
  <c r="C79" i="8"/>
  <c r="O50" i="10" s="1"/>
  <c r="E25" i="11"/>
  <c r="J6" i="11" s="1"/>
  <c r="F86" i="8"/>
  <c r="C86" i="8"/>
  <c r="O45" i="1" s="1"/>
  <c r="Q60" i="1"/>
  <c r="N60" i="1" s="1"/>
  <c r="N61" i="1"/>
  <c r="AE92" i="1"/>
  <c r="AF9" i="1"/>
  <c r="V90" i="10"/>
  <c r="AB89" i="10"/>
  <c r="V88" i="10"/>
  <c r="Z8" i="10"/>
  <c r="X8" i="10"/>
  <c r="N52" i="1"/>
  <c r="O52" i="1"/>
  <c r="AB9" i="1"/>
  <c r="AD8" i="10"/>
  <c r="AD89" i="10" s="1"/>
  <c r="AD90" i="10" s="1"/>
  <c r="AA8" i="10"/>
  <c r="S64" i="1"/>
  <c r="S65" i="1" s="1"/>
  <c r="T60" i="1"/>
  <c r="S60" i="1" s="1"/>
  <c r="AA60" i="1" s="1"/>
  <c r="AB72" i="10"/>
  <c r="AB70" i="10" s="1"/>
  <c r="V70" i="10"/>
  <c r="S70" i="10" s="1"/>
  <c r="V92" i="1"/>
  <c r="T91" i="1"/>
  <c r="V75" i="1"/>
  <c r="T93" i="1"/>
  <c r="O46" i="10"/>
  <c r="Q46" i="10" s="1"/>
  <c r="O47" i="10"/>
  <c r="AE8" i="10"/>
  <c r="S91" i="1" l="1"/>
  <c r="S92" i="1" s="1"/>
  <c r="Q52" i="1"/>
  <c r="Q51" i="1" s="1"/>
  <c r="O53" i="1"/>
  <c r="Q53" i="1" s="1"/>
  <c r="Z72" i="10"/>
  <c r="Z70" i="10" s="1"/>
  <c r="O48" i="1"/>
  <c r="V91" i="1"/>
  <c r="AC92" i="1"/>
  <c r="V93" i="1"/>
  <c r="AE93" i="1"/>
  <c r="O46" i="1"/>
  <c r="O47" i="1" s="1"/>
  <c r="Q47" i="1" s="1"/>
  <c r="Q56" i="1"/>
  <c r="Q55" i="1" s="1"/>
  <c r="Q46" i="1"/>
  <c r="N46" i="1"/>
  <c r="Q44" i="10"/>
  <c r="S88" i="10"/>
  <c r="S89" i="10" s="1"/>
  <c r="W59" i="10"/>
  <c r="AF59" i="10" s="1"/>
  <c r="AD72" i="10"/>
  <c r="AD70" i="10" s="1"/>
  <c r="AB88" i="10"/>
  <c r="AB90" i="10"/>
  <c r="O51" i="10"/>
  <c r="Q51" i="10" s="1"/>
  <c r="N51" i="10"/>
  <c r="Z66" i="10"/>
  <c r="Z59" i="10"/>
  <c r="W66" i="10"/>
  <c r="AC75" i="1"/>
  <c r="AC72" i="1" s="1"/>
  <c r="S75" i="1"/>
  <c r="V72" i="1"/>
  <c r="S72" i="1" s="1"/>
  <c r="AA72" i="1" s="1"/>
  <c r="AA70" i="10"/>
  <c r="X72" i="10"/>
  <c r="O53" i="10"/>
  <c r="O18" i="10"/>
  <c r="AE7" i="1"/>
  <c r="AE8" i="1" s="1"/>
  <c r="AC8" i="1"/>
  <c r="AE65" i="1"/>
  <c r="AE64" i="1" s="1"/>
  <c r="AE60" i="1" s="1"/>
  <c r="AC64" i="1"/>
  <c r="W68" i="10"/>
  <c r="Q45" i="1" l="1"/>
  <c r="O16" i="10"/>
  <c r="X70" i="10"/>
  <c r="W72" i="10"/>
  <c r="Q58" i="1"/>
  <c r="Q89" i="1"/>
  <c r="O19" i="1"/>
  <c r="Q50" i="10"/>
  <c r="O52" i="10"/>
  <c r="Q52" i="10" s="1"/>
  <c r="AE88" i="10"/>
  <c r="AA88" i="10"/>
  <c r="AA89" i="10" s="1"/>
  <c r="Q47" i="10"/>
  <c r="N47" i="10" s="1"/>
  <c r="N44" i="10"/>
  <c r="N46" i="10" s="1"/>
  <c r="AC91" i="1"/>
  <c r="AC93" i="1"/>
  <c r="AE75" i="1"/>
  <c r="AE72" i="1" s="1"/>
  <c r="AB72" i="1" s="1"/>
  <c r="Q54" i="1"/>
  <c r="N54" i="1" s="1"/>
  <c r="N51" i="1"/>
  <c r="N53" i="1" s="1"/>
  <c r="AB7" i="1"/>
  <c r="AB8" i="1" s="1"/>
  <c r="AC60" i="1"/>
  <c r="AB60" i="1" s="1"/>
  <c r="AB64" i="1"/>
  <c r="AB65" i="1" s="1"/>
  <c r="Q48" i="1" l="1"/>
  <c r="N48" i="1" s="1"/>
  <c r="N45" i="1"/>
  <c r="N47" i="1" s="1"/>
  <c r="W70" i="10"/>
  <c r="AF70" i="10" s="1"/>
  <c r="O17" i="1"/>
  <c r="Q53" i="10"/>
  <c r="N53" i="10" s="1"/>
  <c r="Q18" i="10"/>
  <c r="N50" i="10"/>
  <c r="N52" i="10" s="1"/>
  <c r="Q19" i="1"/>
  <c r="AF91" i="1"/>
  <c r="AB91" i="1"/>
  <c r="AB92" i="1" s="1"/>
  <c r="O85" i="10"/>
  <c r="X18" i="10" l="1"/>
  <c r="V18" i="10"/>
  <c r="Q16" i="10"/>
  <c r="T18" i="10"/>
  <c r="N18" i="10"/>
  <c r="O87" i="10"/>
  <c r="V19" i="1"/>
  <c r="Q17" i="1"/>
  <c r="Q88" i="1" s="1"/>
  <c r="Q90" i="1" s="1"/>
  <c r="X19" i="1"/>
  <c r="T19" i="1"/>
  <c r="N19" i="1"/>
  <c r="N17" i="1"/>
  <c r="O88" i="1"/>
  <c r="T17" i="1" l="1"/>
  <c r="S19" i="1"/>
  <c r="S18" i="10"/>
  <c r="T16" i="10"/>
  <c r="N88" i="1"/>
  <c r="O90" i="1"/>
  <c r="Q85" i="10"/>
  <c r="N16" i="10"/>
  <c r="X88" i="1"/>
  <c r="Z19" i="1"/>
  <c r="Z88" i="1" s="1"/>
  <c r="W19" i="1"/>
  <c r="AA19" i="1" s="1"/>
  <c r="AB18" i="10"/>
  <c r="V16" i="10"/>
  <c r="V85" i="10" s="1"/>
  <c r="V87" i="10" s="1"/>
  <c r="V17" i="1"/>
  <c r="V88" i="1" s="1"/>
  <c r="V90" i="1" s="1"/>
  <c r="AC19" i="1"/>
  <c r="Z18" i="10"/>
  <c r="Z85" i="10" s="1"/>
  <c r="Z87" i="10" s="1"/>
  <c r="W18" i="10"/>
  <c r="AF18" i="10" s="1"/>
  <c r="X85" i="10"/>
  <c r="Z88" i="10" l="1"/>
  <c r="Z89" i="10" s="1"/>
  <c r="AB16" i="10"/>
  <c r="AD18" i="10"/>
  <c r="AD16" i="10" s="1"/>
  <c r="S16" i="10"/>
  <c r="T85" i="10"/>
  <c r="T87" i="10" s="1"/>
  <c r="Q87" i="10"/>
  <c r="N85" i="10"/>
  <c r="AC17" i="1"/>
  <c r="AE19" i="1"/>
  <c r="AE17" i="1" s="1"/>
  <c r="W85" i="10"/>
  <c r="X87" i="10"/>
  <c r="X88" i="10" s="1"/>
  <c r="Z91" i="1"/>
  <c r="X90" i="1"/>
  <c r="Z90" i="1" s="1"/>
  <c r="X91" i="1"/>
  <c r="X92" i="1" s="1"/>
  <c r="W88" i="1"/>
  <c r="S17" i="1"/>
  <c r="T88" i="1"/>
  <c r="T90" i="1" s="1"/>
  <c r="AD17" i="10" l="1"/>
  <c r="AD85" i="10"/>
  <c r="AB19" i="1"/>
  <c r="AA18" i="10"/>
  <c r="S88" i="1"/>
  <c r="S18" i="1"/>
  <c r="W91" i="1"/>
  <c r="Z92" i="1"/>
  <c r="Z93" i="1" s="1"/>
  <c r="AE18" i="1"/>
  <c r="AE88" i="1"/>
  <c r="AA16" i="10"/>
  <c r="AB85" i="10"/>
  <c r="AB87" i="10" s="1"/>
  <c r="AA88" i="1"/>
  <c r="X89" i="10"/>
  <c r="Z90" i="10" s="1"/>
  <c r="W88" i="10"/>
  <c r="W89" i="10" s="1"/>
  <c r="AB17" i="1"/>
  <c r="AC88" i="1"/>
  <c r="AC90" i="1" s="1"/>
  <c r="S17" i="10"/>
  <c r="S85" i="10"/>
  <c r="AF85" i="10" s="1"/>
  <c r="AF87" i="10"/>
  <c r="AA85" i="10" l="1"/>
  <c r="AA17" i="10"/>
  <c r="AF88" i="1"/>
  <c r="AE90" i="1"/>
  <c r="AF90" i="1" s="1"/>
  <c r="AE85" i="10"/>
  <c r="AD87" i="10"/>
  <c r="AE87" i="10" s="1"/>
  <c r="AB18" i="1"/>
  <c r="AB88" i="1"/>
  <c r="AE91" i="10" l="1"/>
  <c r="AE89" i="10"/>
  <c r="AF94" i="1"/>
  <c r="AF92" i="1"/>
</calcChain>
</file>

<file path=xl/comments1.xml><?xml version="1.0" encoding="utf-8"?>
<comments xmlns="http://schemas.openxmlformats.org/spreadsheetml/2006/main">
  <authors>
    <author>Автор</author>
  </authors>
  <commentList>
    <comment ref="W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рассчитан от факта 2015 г. с ростом 4%
</t>
        </r>
      </text>
    </comment>
  </commentList>
</comments>
</file>

<file path=xl/sharedStrings.xml><?xml version="1.0" encoding="utf-8"?>
<sst xmlns="http://schemas.openxmlformats.org/spreadsheetml/2006/main" count="750" uniqueCount="339">
  <si>
    <t>ед.изм</t>
  </si>
  <si>
    <t>план</t>
  </si>
  <si>
    <t>факт</t>
  </si>
  <si>
    <t>№ 
п/п</t>
  </si>
  <si>
    <t>тыс.руб.</t>
  </si>
  <si>
    <t>Операционные расходы</t>
  </si>
  <si>
    <t>индекс эффективности расходов</t>
  </si>
  <si>
    <t>%</t>
  </si>
  <si>
    <t>тариф</t>
  </si>
  <si>
    <t>тыс. кВт*ч</t>
  </si>
  <si>
    <t>руб/кВт</t>
  </si>
  <si>
    <t>в т.ч. на электроэнергию</t>
  </si>
  <si>
    <t>тыс.м3</t>
  </si>
  <si>
    <t>ПРОИЗВОДСТВЕННЫЕ РАСХОДЫ</t>
  </si>
  <si>
    <t>численность</t>
  </si>
  <si>
    <t>ср.з.плата</t>
  </si>
  <si>
    <t>РЕМОНТНЫЕ РАСХОДЫ</t>
  </si>
  <si>
    <t>2.</t>
  </si>
  <si>
    <t>2.1</t>
  </si>
  <si>
    <t>2.2</t>
  </si>
  <si>
    <t>базовый уровень</t>
  </si>
  <si>
    <t>индекс потребительских цен (средний по году)</t>
  </si>
  <si>
    <t>потери</t>
  </si>
  <si>
    <t xml:space="preserve">удельный расход эл.энергии на подачу (в сеть) </t>
  </si>
  <si>
    <t>3.</t>
  </si>
  <si>
    <t>4.</t>
  </si>
  <si>
    <t>I. Текущие расходы</t>
  </si>
  <si>
    <t>II. Амортизация</t>
  </si>
  <si>
    <t>III. Нормативная прибыль</t>
  </si>
  <si>
    <t>налог на имущество</t>
  </si>
  <si>
    <t>кВт*час/м3</t>
  </si>
  <si>
    <t>руб./м3</t>
  </si>
  <si>
    <t>НВВ (без сглаживания)</t>
  </si>
  <si>
    <t>2.3</t>
  </si>
  <si>
    <t>ЦЕХОВЫЕ РАСХОДЫ</t>
  </si>
  <si>
    <t>прибыль на прочие цели</t>
  </si>
  <si>
    <t>тыс. руб.</t>
  </si>
  <si>
    <t>2.4</t>
  </si>
  <si>
    <t>АДМИНИСТРАТИВНЫЕ РАСХОДЫ</t>
  </si>
  <si>
    <t>средства на возврат займов (кредитов)</t>
  </si>
  <si>
    <t>расходы на кап.вложения (инвестиции)</t>
  </si>
  <si>
    <t>прибыль, остающаяся в распоряжении организации</t>
  </si>
  <si>
    <t>2.1.1</t>
  </si>
  <si>
    <t>2.1.2</t>
  </si>
  <si>
    <t>Неподконтрольные расходы, в том числе</t>
  </si>
  <si>
    <t xml:space="preserve"> </t>
  </si>
  <si>
    <t>Пропущено через очистные сооружения</t>
  </si>
  <si>
    <t>Поднято воды</t>
  </si>
  <si>
    <t xml:space="preserve">Подано в сеть </t>
  </si>
  <si>
    <t>уровень потерь к отпуску в сеть</t>
  </si>
  <si>
    <t>в том числе по приборам учета</t>
  </si>
  <si>
    <t>Электроэнергия НН</t>
  </si>
  <si>
    <t>объем всего</t>
  </si>
  <si>
    <t>Реагенты</t>
  </si>
  <si>
    <t>капитальный ремонт</t>
  </si>
  <si>
    <t>ед.</t>
  </si>
  <si>
    <t>руб./мес.</t>
  </si>
  <si>
    <t>2.1.3</t>
  </si>
  <si>
    <t>2.2.1</t>
  </si>
  <si>
    <t>2.2.2</t>
  </si>
  <si>
    <t>2.3.1</t>
  </si>
  <si>
    <t>2.3.2</t>
  </si>
  <si>
    <t>Покупная вода</t>
  </si>
  <si>
    <t xml:space="preserve">объем </t>
  </si>
  <si>
    <t>Оплата труда ОПР</t>
  </si>
  <si>
    <t>2.4.1</t>
  </si>
  <si>
    <t>2.4.2</t>
  </si>
  <si>
    <t>2.3.3</t>
  </si>
  <si>
    <t xml:space="preserve">Прочие прямые расходы </t>
  </si>
  <si>
    <t>2.4.4</t>
  </si>
  <si>
    <t>3.1</t>
  </si>
  <si>
    <t xml:space="preserve">Электроэнергия </t>
  </si>
  <si>
    <t>3.1.1</t>
  </si>
  <si>
    <t>4.1</t>
  </si>
  <si>
    <t>4.3</t>
  </si>
  <si>
    <r>
      <t xml:space="preserve">индекс количества активов </t>
    </r>
    <r>
      <rPr>
        <i/>
        <sz val="10"/>
        <color indexed="8"/>
        <rFont val="Times New Roman"/>
        <family val="1"/>
        <charset val="204"/>
      </rPr>
      <t>(только для транзитных)</t>
    </r>
  </si>
  <si>
    <t>2.2.4</t>
  </si>
  <si>
    <t>мероприятия по энергосбережению</t>
  </si>
  <si>
    <t>01.01.2016   30.06.2016</t>
  </si>
  <si>
    <t>01.07.2016   31.12.2016</t>
  </si>
  <si>
    <t>01.01.2017   30.06.2017</t>
  </si>
  <si>
    <t>01.07.2017   31.12.2017</t>
  </si>
  <si>
    <t xml:space="preserve"> объем </t>
  </si>
  <si>
    <t>2014 год</t>
  </si>
  <si>
    <t>2015 год</t>
  </si>
  <si>
    <t>2016 год</t>
  </si>
  <si>
    <t>2.4.3</t>
  </si>
  <si>
    <t>Рост</t>
  </si>
  <si>
    <t>Оплата труда ремонтного персонала</t>
  </si>
  <si>
    <t>2.2.6</t>
  </si>
  <si>
    <t>транспортный налог</t>
  </si>
  <si>
    <t>предложение департамента</t>
  </si>
  <si>
    <t>предложение предприятия</t>
  </si>
  <si>
    <t>Хозяйственные нужды предприятия</t>
  </si>
  <si>
    <t>Реализовано воды всего, в т.ч.:</t>
  </si>
  <si>
    <t>налог на воду</t>
  </si>
  <si>
    <t>Кол-во</t>
  </si>
  <si>
    <t>за 2014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</si>
  <si>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</si>
  <si>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</si>
  <si>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</si>
  <si>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</si>
  <si>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</si>
  <si>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</si>
  <si>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</si>
  <si>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</si>
  <si>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</si>
  <si>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</si>
  <si>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</si>
  <si>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</si>
  <si>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</si>
  <si>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r>
      <t xml:space="preserve">тарифы на </t>
    </r>
    <r>
      <rPr>
        <b/>
        <sz val="12"/>
        <rFont val="Arial Cyr"/>
        <charset val="204"/>
      </rPr>
      <t>НН</t>
    </r>
    <r>
      <rPr>
        <sz val="11"/>
        <color theme="1"/>
        <rFont val="Calibri"/>
        <family val="2"/>
        <charset val="204"/>
        <scheme val="minor"/>
      </rPr>
      <t xml:space="preserve"> за 2014 г. (10 мес.)</t>
    </r>
  </si>
  <si>
    <r>
      <t xml:space="preserve">тарифы на </t>
    </r>
    <r>
      <rPr>
        <b/>
        <sz val="12"/>
        <rFont val="Arial Cyr"/>
        <charset val="204"/>
      </rPr>
      <t>СН-2</t>
    </r>
    <r>
      <rPr>
        <sz val="11"/>
        <color theme="1"/>
        <rFont val="Calibri"/>
        <family val="2"/>
        <charset val="204"/>
        <scheme val="minor"/>
      </rPr>
      <t xml:space="preserve"> за 2014 г. (10 мес.)</t>
    </r>
  </si>
  <si>
    <t>НДС</t>
  </si>
  <si>
    <t>тариф + НДС</t>
  </si>
  <si>
    <t>без НДС</t>
  </si>
  <si>
    <t>С НДС</t>
  </si>
  <si>
    <t>ИТОГО</t>
  </si>
  <si>
    <t>Наименование</t>
  </si>
  <si>
    <t>Дата ввода в эксплуатацию</t>
  </si>
  <si>
    <t>Годовая сумма амортизации, тыс. руб.</t>
  </si>
  <si>
    <t>Остаточная стоимость, тыс. руб.</t>
  </si>
  <si>
    <t>Балансовая стоимость, тыс. руб.</t>
  </si>
  <si>
    <t>№ п/п</t>
  </si>
  <si>
    <t>Наименование профессии</t>
  </si>
  <si>
    <t>Разряд</t>
  </si>
  <si>
    <t>Численность</t>
  </si>
  <si>
    <t>Оклад мес./ тарифная ставка</t>
  </si>
  <si>
    <t>премия</t>
  </si>
  <si>
    <t>В месяц на 1 чел., руб.</t>
  </si>
  <si>
    <t>Время работы в год</t>
  </si>
  <si>
    <t>АУП</t>
  </si>
  <si>
    <t>Директор</t>
  </si>
  <si>
    <t>ОСНОВНОЕ ПРОИЗВОДСТВО ВС</t>
  </si>
  <si>
    <t>налог на прибыль</t>
  </si>
  <si>
    <t>НН</t>
  </si>
  <si>
    <t>Текущий ремонт и техническое обслуживание</t>
  </si>
  <si>
    <t>Цеховые</t>
  </si>
  <si>
    <t>Оплата труда АУП</t>
  </si>
  <si>
    <t>Отчисления на соц. нужды от з/пл (30,20%)</t>
  </si>
  <si>
    <t>Общехозяйственные</t>
  </si>
  <si>
    <t>бюджетные потребители</t>
  </si>
  <si>
    <t>население</t>
  </si>
  <si>
    <t>на производственные нужды предприятия</t>
  </si>
  <si>
    <t>ТАРИФ (НДС не облагается)</t>
  </si>
  <si>
    <t>4.4</t>
  </si>
  <si>
    <t>4.2</t>
  </si>
  <si>
    <t>ЧТС, руб/ч</t>
  </si>
  <si>
    <t>Всего в год</t>
  </si>
  <si>
    <t>доплата до МРОТ</t>
  </si>
  <si>
    <t>переработка</t>
  </si>
  <si>
    <t xml:space="preserve">ЦЕХОВЫЕ </t>
  </si>
  <si>
    <t>АУП (ВС)</t>
  </si>
  <si>
    <t>ВС</t>
  </si>
  <si>
    <t xml:space="preserve"> АУП (ВО)</t>
  </si>
  <si>
    <t>ВО</t>
  </si>
  <si>
    <t>ВС (факт)</t>
  </si>
  <si>
    <t>Оплата труда прочего персонала, относимого на регулируемый вид деятельности</t>
  </si>
  <si>
    <t>отчисления на соц. нужды от з/пл (30,20%)</t>
  </si>
  <si>
    <t>Расходы на электрическую энергию</t>
  </si>
  <si>
    <t>с 01.01.2015</t>
  </si>
  <si>
    <t>с 01.07.2015</t>
  </si>
  <si>
    <t>2012 года</t>
  </si>
  <si>
    <t>2013 года</t>
  </si>
  <si>
    <t>ИПЦ на 2016 год</t>
  </si>
  <si>
    <t>2018 год</t>
  </si>
  <si>
    <t>01.01.2018   30.06.2018</t>
  </si>
  <si>
    <t>01.07.2018   31.12.2018</t>
  </si>
  <si>
    <t>ИПЦ на 2017 год</t>
  </si>
  <si>
    <t>ИПЦ на 2018 год</t>
  </si>
  <si>
    <t>дельта НВВ сглаживания</t>
  </si>
  <si>
    <t>НВВ</t>
  </si>
  <si>
    <t xml:space="preserve">план         </t>
  </si>
  <si>
    <t>% роста текущих расходов к базовому 2016 г.</t>
  </si>
  <si>
    <t>прочие потребители</t>
  </si>
  <si>
    <t>Электроэнергия СН-2</t>
  </si>
  <si>
    <t>Расходы на проведение АВР</t>
  </si>
  <si>
    <t>2.1.4</t>
  </si>
  <si>
    <t>тариф (СН-2)</t>
  </si>
  <si>
    <t>Оплата труда цехового персонала</t>
  </si>
  <si>
    <t>Тарифная ставка рабочего 1-го разряда</t>
  </si>
  <si>
    <t xml:space="preserve">факт </t>
  </si>
  <si>
    <t>ПРОЧИЙ ПЕРСОНАЛ</t>
  </si>
  <si>
    <t>ТЕПЛОСНАБЖЕНИЕ</t>
  </si>
  <si>
    <t>Кочегар-истопник</t>
  </si>
  <si>
    <t>отчисления на соц. нужды от з/пл  (30,20%)</t>
  </si>
  <si>
    <t>Отчисления на соц. нужды от з/пл  (30,20%)</t>
  </si>
  <si>
    <t>4.5</t>
  </si>
  <si>
    <t>тариф (НН)</t>
  </si>
  <si>
    <t>за особые условия труда (сложность)</t>
  </si>
  <si>
    <t>стаж работы</t>
  </si>
  <si>
    <t>напряженность</t>
  </si>
  <si>
    <t>ненормир. рабочий день</t>
  </si>
  <si>
    <t>работа в ночное время</t>
  </si>
  <si>
    <t>факт 9 месяцев</t>
  </si>
  <si>
    <t>Цена</t>
  </si>
  <si>
    <t>Сумма, тыс. руб.</t>
  </si>
  <si>
    <t>ремонты</t>
  </si>
  <si>
    <t>прочие расходы (ГСМ и малоценные материалы)</t>
  </si>
  <si>
    <t>Пропущено сточных вод</t>
  </si>
  <si>
    <t>Пропущено сточных вод по категориям потребителей всего, в т.ч.</t>
  </si>
  <si>
    <t>прочие поребители</t>
  </si>
  <si>
    <t>от собственного предприятия</t>
  </si>
  <si>
    <t>ОСНОВНОЕ ПРОИЗВОДСТВО ВО</t>
  </si>
  <si>
    <t xml:space="preserve">% по воде </t>
  </si>
  <si>
    <t>% по стокам</t>
  </si>
  <si>
    <t xml:space="preserve"> ремонт (ВС)</t>
  </si>
  <si>
    <t xml:space="preserve"> ремонт (ВО)</t>
  </si>
  <si>
    <t>ФОТ 2016</t>
  </si>
  <si>
    <t>числ-ть 2016</t>
  </si>
  <si>
    <t>Наименование автотранспорта</t>
  </si>
  <si>
    <t>налоговая ставка</t>
  </si>
  <si>
    <t>л.с.</t>
  </si>
  <si>
    <t>на воду</t>
  </si>
  <si>
    <t>на стоки</t>
  </si>
  <si>
    <t>на 2016 год</t>
  </si>
  <si>
    <t xml:space="preserve">Переброска затрат на водоотведение(общехозяйственные и з/п прочего персонала) </t>
  </si>
  <si>
    <t>ВО (факт)</t>
  </si>
  <si>
    <t>СН-2</t>
  </si>
  <si>
    <t>Зам. директора</t>
  </si>
  <si>
    <t>Гл. бухгалтер</t>
  </si>
  <si>
    <t>Бухгалтер</t>
  </si>
  <si>
    <t>цех (ВС)</t>
  </si>
  <si>
    <t>цех (ВО)</t>
  </si>
  <si>
    <t>Водопровод</t>
  </si>
  <si>
    <t>Водопроводные сети</t>
  </si>
  <si>
    <t>Скважина</t>
  </si>
  <si>
    <t>Годовая норма  амортизации, %</t>
  </si>
  <si>
    <t>Водоснабжение</t>
  </si>
  <si>
    <t>Водоотведение</t>
  </si>
  <si>
    <t>Канализационные сети</t>
  </si>
  <si>
    <t>материалы (ремонт)</t>
  </si>
  <si>
    <t>план на 2016 год</t>
  </si>
  <si>
    <t>Аптечка, моющие средства</t>
  </si>
  <si>
    <t>Светильник переносной</t>
  </si>
  <si>
    <t>Молоток слесарный</t>
  </si>
  <si>
    <t>Набор ключей</t>
  </si>
  <si>
    <t>Набор слесарно-монтажных инструментов</t>
  </si>
  <si>
    <t>Кувалда</t>
  </si>
  <si>
    <t>Ведро оцинкованное</t>
  </si>
  <si>
    <t>Щетка для пола</t>
  </si>
  <si>
    <t>Предупредительная лента</t>
  </si>
  <si>
    <t>Жилет сигнальный</t>
  </si>
  <si>
    <t>Каска</t>
  </si>
  <si>
    <t>Ножовка по металлу, напильники, электроды</t>
  </si>
  <si>
    <t>Охрана труда</t>
  </si>
  <si>
    <t>Костюм утепленный</t>
  </si>
  <si>
    <t>Ркавицы комбинированные</t>
  </si>
  <si>
    <t>Перчатки резиновые</t>
  </si>
  <si>
    <t>Сапоги</t>
  </si>
  <si>
    <t>Перчатки</t>
  </si>
  <si>
    <t>Костюм Дока-1</t>
  </si>
  <si>
    <t>Костюм сварщика усиленный</t>
  </si>
  <si>
    <t>Цена, тыс. руб. (с инд. 4% с 2015 г.)</t>
  </si>
  <si>
    <t>на операторов насос. уст-ки (ВС)</t>
  </si>
  <si>
    <t>Костюм х/б, в т.ч.</t>
  </si>
  <si>
    <t>на ВС</t>
  </si>
  <si>
    <t>ИТОГО без ВС</t>
  </si>
  <si>
    <t>на ВО</t>
  </si>
  <si>
    <t>ФБУЗ "Центр гигиены и эпидемиологии в Костромской области в Нерехтском районе"</t>
  </si>
  <si>
    <t>в соответствии с планом-графиком</t>
  </si>
  <si>
    <t xml:space="preserve">Наименование </t>
  </si>
  <si>
    <t>Итого</t>
  </si>
  <si>
    <t>расчет тр-го налога на 2016 год</t>
  </si>
  <si>
    <t>УАЗ 22069</t>
  </si>
  <si>
    <t>УАЗ 31512</t>
  </si>
  <si>
    <t>сумма налога, тыс. руб.</t>
  </si>
  <si>
    <t>Содержание офиса</t>
  </si>
  <si>
    <t>командировочные расходы</t>
  </si>
  <si>
    <t>Подписка</t>
  </si>
  <si>
    <t>Канцтовары, почтовые услуги</t>
  </si>
  <si>
    <t>Обслуживание офисного оборудования</t>
  </si>
  <si>
    <t>Услуги связи (телефон, интрнет, факс)</t>
  </si>
  <si>
    <t>Услуги информцентра</t>
  </si>
  <si>
    <t>Услуги банка (ведение счета, сбор платежей населениея)</t>
  </si>
  <si>
    <t>Проездные билеты</t>
  </si>
  <si>
    <t>ГСМ</t>
  </si>
  <si>
    <t>Запчасти, ремонтные материалы</t>
  </si>
  <si>
    <t>Сумма, тыс. руб</t>
  </si>
  <si>
    <t>Медосмотр</t>
  </si>
  <si>
    <t>Запчасти, резина на трактор и автомашины</t>
  </si>
  <si>
    <t>Сумма, тыс. рублей</t>
  </si>
  <si>
    <t>Диз. Топливо</t>
  </si>
  <si>
    <t>Материалы на хоз. Нужды цехов</t>
  </si>
  <si>
    <t>на ВС всего</t>
  </si>
  <si>
    <t>на ВО всего</t>
  </si>
  <si>
    <t>ГСМ на машину для перевозки ремонтных рабочих</t>
  </si>
  <si>
    <t>Ремонт канализационных сетей</t>
  </si>
  <si>
    <t>Частичная замена трубопровода</t>
  </si>
  <si>
    <t>Ремонт насоса ЭЦВ</t>
  </si>
  <si>
    <t>Ремонт заграждения 5-ти скважин</t>
  </si>
  <si>
    <t>Ремонт запорной арматуры</t>
  </si>
  <si>
    <t>Ремонт частотного преобразовантеля</t>
  </si>
  <si>
    <t>Замена эл. Счетчиков на скважинах</t>
  </si>
  <si>
    <t>аренда (имущество)</t>
  </si>
  <si>
    <t>ремонт объектов централизованной системы ВС</t>
  </si>
  <si>
    <t>мероприятия по улучшению качества питьевой воды</t>
  </si>
  <si>
    <t>пропущено через собственные очистные сооружения</t>
  </si>
  <si>
    <t>ремонт объектов централизованной системы ВО</t>
  </si>
  <si>
    <t>мероприятия по улучшению качества очистки сточных вод</t>
  </si>
  <si>
    <t xml:space="preserve">Переброска затрат с водоснабжения(общехозяйственные ) </t>
  </si>
  <si>
    <t>на 2015 год пропорционально заработной плате ОПР</t>
  </si>
  <si>
    <t>ЗП ОПР всего</t>
  </si>
  <si>
    <t>ЗП ОПР по ВС</t>
  </si>
  <si>
    <t>ЗП ОПР по ВО</t>
  </si>
  <si>
    <t xml:space="preserve">% по ВС </t>
  </si>
  <si>
    <t>% по ВО</t>
  </si>
  <si>
    <t>РЕМОНТНЫЕ (ВС)</t>
  </si>
  <si>
    <t>РЕМОНТНЫЕ (ВО)</t>
  </si>
  <si>
    <t>Слесарь АВР</t>
  </si>
  <si>
    <t>Электрогазосварщик</t>
  </si>
  <si>
    <t>Слесарь-ремонтник</t>
  </si>
  <si>
    <t>от 15% до 44%</t>
  </si>
  <si>
    <t>Энергетик</t>
  </si>
  <si>
    <t>Машинист насосных установок (1 подъем)</t>
  </si>
  <si>
    <t>Машинист насосных установок (2 подъем)</t>
  </si>
  <si>
    <t>Аппаратчик очистки сточных вод</t>
  </si>
  <si>
    <t>ЗП ОПР Содержание</t>
  </si>
  <si>
    <t>01.01.2016 - 30.06.2016</t>
  </si>
  <si>
    <t>01.07.2016 - 31.12.2016</t>
  </si>
  <si>
    <t>01.01.2017 - 30.06.2017</t>
  </si>
  <si>
    <t>01.07.2017 - 31.12.2017</t>
  </si>
  <si>
    <t>01.01.2018 - 30.06.2018</t>
  </si>
  <si>
    <t>01.07.2018 - 31.12.2018</t>
  </si>
  <si>
    <t>9 мес. 2016г</t>
  </si>
  <si>
    <t>факт 2015г</t>
  </si>
  <si>
    <t>9 мес 2016г</t>
  </si>
  <si>
    <t>МУП ГП пос. Красное -на-Волге "Чистая вода" 
УСНО
ВОДООТВЕДЕНИЕ</t>
  </si>
  <si>
    <t>Расчет тарифов на водоотведение на 2016-2018 годы</t>
  </si>
  <si>
    <t>МУП ГП пос. Красное -на-Волге "Чистая вода" 
УСНО
ВОДОСНАБЖЕНИЕ</t>
  </si>
  <si>
    <t>отклонения</t>
  </si>
  <si>
    <t>2017 год план</t>
  </si>
  <si>
    <t>2017 год корр</t>
  </si>
  <si>
    <t>налог по УСНО (дох.-расх)1%</t>
  </si>
  <si>
    <t>уд.расход на подачу в сеть по НН</t>
  </si>
  <si>
    <t>3.1.2</t>
  </si>
  <si>
    <t>уд.расход на подачу в сеть по СН-2</t>
  </si>
  <si>
    <t>2016 год базовый уровень</t>
  </si>
  <si>
    <t>налог по УСНО (дох.-расх)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</si>
</sst>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0.0%"/>
    <numFmt numFmtId="168" formatCode="0.000%"/>
    <numFmt numFmtId="169" formatCode="_(* #,##0.00_);_(* \(#,##0.00\);_(* &quot;-&quot;??_);_(@_)"/>
    <numFmt numFmtId="170" formatCode="_-* #,##0_р_._-;\-* #,##0_р_._-;_-* &quot;-&quot;??_р_._-;_-@_-"/>
    <numFmt numFmtId="171" formatCode="_(* #,##0.0_);_(* \(#,##0.0\);_(* &quot;-&quot;??_);_(@_)"/>
    <numFmt numFmtId="172" formatCode="_(* #,##0_);_(* \(#,##0\);_(* &quot;-&quot;??_);_(@_)"/>
    <numFmt numFmtId="173" formatCode="0.0000"/>
    <numFmt numFmtId="174" formatCode="0.0"/>
    <numFmt numFmtId="175" formatCode="0.00000"/>
  </numFmts>
  <fonts count="6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8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name val="Jokerman"/>
      <family val="5"/>
    </font>
    <font>
      <b/>
      <sz val="10"/>
      <name val="Arial Cyr"/>
      <charset val="204"/>
    </font>
    <font>
      <sz val="14"/>
      <name val="Forte"/>
      <family val="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b/>
      <sz val="10"/>
      <name val="Helv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Ravie"/>
      <family val="5"/>
    </font>
    <font>
      <i/>
      <sz val="10"/>
      <name val="Times New Roman"/>
      <family val="1"/>
      <charset val="204"/>
    </font>
    <font>
      <sz val="12"/>
      <name val="Showcard Gothic"/>
      <family val="5"/>
    </font>
    <font>
      <b/>
      <sz val="12"/>
      <name val="Showcard Gothic"/>
      <family val="5"/>
    </font>
    <font>
      <b/>
      <u val="singleAccounting"/>
      <sz val="10"/>
      <name val="Helv"/>
      <charset val="204"/>
    </font>
    <font>
      <sz val="10"/>
      <name val="Showcard Gothic"/>
      <family val="5"/>
    </font>
    <font>
      <sz val="20"/>
      <name val="Showcard Gothic"/>
      <family val="5"/>
    </font>
    <font>
      <sz val="10"/>
      <color indexed="10"/>
      <name val="Arial Cyr"/>
      <charset val="204"/>
    </font>
    <font>
      <b/>
      <sz val="14"/>
      <color indexed="8"/>
      <name val="Old English Text MT"/>
      <family val="4"/>
    </font>
    <font>
      <sz val="16"/>
      <color indexed="8"/>
      <name val="Jokerman"/>
      <family val="5"/>
    </font>
    <font>
      <b/>
      <sz val="11"/>
      <color indexed="8"/>
      <name val="Showcard Gothic"/>
      <family val="5"/>
    </font>
    <font>
      <sz val="8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12"/>
      <name val="Showcard Gothic"/>
      <family val="5"/>
    </font>
    <font>
      <b/>
      <sz val="12"/>
      <name val="Showcard Gothic"/>
      <charset val="204"/>
    </font>
    <font>
      <b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color indexed="57"/>
      <name val="Arial"/>
      <family val="2"/>
      <charset val="204"/>
    </font>
    <font>
      <b/>
      <sz val="10"/>
      <color indexed="9"/>
      <name val="Times New Roman"/>
      <family val="1"/>
      <charset val="204"/>
    </font>
    <font>
      <i/>
      <sz val="10"/>
      <color indexed="9"/>
      <name val="Times New Roman"/>
      <family val="1"/>
      <charset val="204"/>
    </font>
    <font>
      <sz val="14"/>
      <color indexed="8"/>
      <name val="Arial Black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20"/>
      </right>
      <top style="double">
        <color indexed="20"/>
      </top>
      <bottom style="double">
        <color indexed="20"/>
      </bottom>
      <diagonal/>
    </border>
    <border>
      <left style="double">
        <color indexed="20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double">
        <color indexed="20"/>
      </left>
      <right/>
      <top style="double">
        <color indexed="20"/>
      </top>
      <bottom style="double">
        <color indexed="2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  <diagonal/>
    </border>
    <border>
      <left/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3" fillId="0" borderId="0"/>
    <xf numFmtId="0" fontId="28" fillId="0" borderId="0"/>
    <xf numFmtId="0" fontId="28" fillId="0" borderId="0"/>
    <xf numFmtId="9" fontId="17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864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1" fillId="0" borderId="0" xfId="0" applyFont="1" applyFill="1"/>
    <xf numFmtId="0" fontId="0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9" fontId="7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/>
    <xf numFmtId="0" fontId="10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/>
    <xf numFmtId="166" fontId="7" fillId="0" borderId="0" xfId="0" applyNumberFormat="1" applyFont="1"/>
    <xf numFmtId="2" fontId="8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Fill="1"/>
    <xf numFmtId="167" fontId="7" fillId="0" borderId="1" xfId="4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0" fillId="0" borderId="1" xfId="0" applyBorder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/>
    <xf numFmtId="2" fontId="19" fillId="0" borderId="1" xfId="0" applyNumberFormat="1" applyFont="1" applyBorder="1"/>
    <xf numFmtId="2" fontId="19" fillId="0" borderId="1" xfId="0" applyNumberFormat="1" applyFont="1" applyFill="1" applyBorder="1"/>
    <xf numFmtId="0" fontId="0" fillId="0" borderId="0" xfId="0" applyAlignment="1">
      <alignment horizontal="center" wrapText="1"/>
    </xf>
    <xf numFmtId="2" fontId="0" fillId="0" borderId="0" xfId="0" applyNumberFormat="1"/>
    <xf numFmtId="2" fontId="20" fillId="0" borderId="0" xfId="0" applyNumberFormat="1" applyFon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2" fontId="0" fillId="0" borderId="0" xfId="0" applyNumberFormat="1" applyBorder="1"/>
    <xf numFmtId="2" fontId="20" fillId="0" borderId="0" xfId="0" applyNumberFormat="1" applyFont="1" applyBorder="1"/>
    <xf numFmtId="0" fontId="22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wrapText="1"/>
    </xf>
    <xf numFmtId="1" fontId="22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/>
    </xf>
    <xf numFmtId="167" fontId="7" fillId="0" borderId="0" xfId="0" applyNumberFormat="1" applyFont="1" applyFill="1" applyBorder="1"/>
    <xf numFmtId="2" fontId="11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right" vertical="center"/>
    </xf>
    <xf numFmtId="2" fontId="13" fillId="0" borderId="6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2" fontId="14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2" fontId="24" fillId="0" borderId="6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2" fontId="8" fillId="0" borderId="1" xfId="0" applyNumberFormat="1" applyFont="1" applyFill="1" applyBorder="1"/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right" vertical="center"/>
    </xf>
    <xf numFmtId="0" fontId="12" fillId="0" borderId="1" xfId="0" applyFont="1" applyFill="1" applyBorder="1"/>
    <xf numFmtId="2" fontId="14" fillId="0" borderId="1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2" fontId="8" fillId="0" borderId="4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wrapText="1"/>
    </xf>
    <xf numFmtId="0" fontId="10" fillId="0" borderId="1" xfId="0" applyFont="1" applyFill="1" applyBorder="1"/>
    <xf numFmtId="167" fontId="31" fillId="0" borderId="1" xfId="0" applyNumberFormat="1" applyFont="1" applyFill="1" applyBorder="1" applyAlignment="1">
      <alignment horizontal="center" vertical="center"/>
    </xf>
    <xf numFmtId="2" fontId="24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2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center"/>
    </xf>
    <xf numFmtId="2" fontId="16" fillId="0" borderId="4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5" fillId="0" borderId="0" xfId="0" applyFont="1" applyFill="1" applyAlignment="1"/>
    <xf numFmtId="0" fontId="2" fillId="0" borderId="0" xfId="0" applyFont="1" applyFill="1"/>
    <xf numFmtId="0" fontId="3" fillId="0" borderId="0" xfId="0" applyFont="1" applyFill="1"/>
    <xf numFmtId="2" fontId="9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right" vertical="center"/>
    </xf>
    <xf numFmtId="2" fontId="7" fillId="0" borderId="0" xfId="0" applyNumberFormat="1" applyFont="1"/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/>
    </xf>
    <xf numFmtId="0" fontId="31" fillId="0" borderId="1" xfId="0" applyFont="1" applyFill="1" applyBorder="1" applyAlignment="1">
      <alignment horizontal="right" vertical="center"/>
    </xf>
    <xf numFmtId="9" fontId="31" fillId="0" borderId="1" xfId="0" applyNumberFormat="1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26" fillId="0" borderId="0" xfId="0" applyFont="1"/>
    <xf numFmtId="9" fontId="10" fillId="0" borderId="1" xfId="0" applyNumberFormat="1" applyFont="1" applyFill="1" applyBorder="1" applyAlignment="1">
      <alignment horizontal="center" vertical="center" wrapText="1"/>
    </xf>
    <xf numFmtId="169" fontId="24" fillId="2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26" fillId="0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169" fontId="24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69" fontId="10" fillId="0" borderId="1" xfId="0" applyNumberFormat="1" applyFont="1" applyFill="1" applyBorder="1" applyAlignment="1">
      <alignment vertical="center" wrapText="1"/>
    </xf>
    <xf numFmtId="169" fontId="10" fillId="4" borderId="1" xfId="0" applyNumberFormat="1" applyFont="1" applyFill="1" applyBorder="1" applyAlignment="1">
      <alignment vertical="center" wrapText="1"/>
    </xf>
    <xf numFmtId="2" fontId="7" fillId="0" borderId="4" xfId="0" applyNumberFormat="1" applyFont="1" applyFill="1" applyBorder="1" applyAlignment="1">
      <alignment horizontal="right" vertical="center"/>
    </xf>
    <xf numFmtId="2" fontId="7" fillId="0" borderId="6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70" fontId="10" fillId="3" borderId="1" xfId="5" applyNumberFormat="1" applyFont="1" applyFill="1" applyBorder="1" applyAlignment="1">
      <alignment vertical="center" wrapText="1"/>
    </xf>
    <xf numFmtId="169" fontId="10" fillId="3" borderId="1" xfId="5" applyNumberFormat="1" applyFont="1" applyFill="1" applyBorder="1" applyAlignment="1">
      <alignment vertical="center" wrapText="1"/>
    </xf>
    <xf numFmtId="171" fontId="10" fillId="3" borderId="1" xfId="5" applyNumberFormat="1" applyFont="1" applyFill="1" applyBorder="1" applyAlignment="1">
      <alignment vertical="center" wrapText="1"/>
    </xf>
    <xf numFmtId="165" fontId="10" fillId="3" borderId="1" xfId="5" applyFont="1" applyFill="1" applyBorder="1" applyAlignment="1">
      <alignment vertical="center" wrapText="1"/>
    </xf>
    <xf numFmtId="165" fontId="25" fillId="3" borderId="1" xfId="5" applyFont="1" applyFill="1" applyBorder="1" applyAlignment="1">
      <alignment vertical="center" wrapText="1"/>
    </xf>
    <xf numFmtId="165" fontId="10" fillId="0" borderId="1" xfId="5" applyFont="1" applyFill="1" applyBorder="1" applyAlignment="1">
      <alignment vertical="center" wrapText="1"/>
    </xf>
    <xf numFmtId="169" fontId="10" fillId="4" borderId="1" xfId="5" applyNumberFormat="1" applyFont="1" applyFill="1" applyBorder="1" applyAlignment="1">
      <alignment vertical="center" wrapText="1"/>
    </xf>
    <xf numFmtId="171" fontId="10" fillId="0" borderId="1" xfId="5" applyNumberFormat="1" applyFont="1" applyFill="1" applyBorder="1" applyAlignment="1">
      <alignment vertical="center" wrapText="1"/>
    </xf>
    <xf numFmtId="165" fontId="25" fillId="0" borderId="1" xfId="5" applyFont="1" applyFill="1" applyBorder="1" applyAlignment="1">
      <alignment vertical="center" wrapText="1"/>
    </xf>
    <xf numFmtId="165" fontId="24" fillId="2" borderId="1" xfId="5" applyFont="1" applyFill="1" applyBorder="1" applyAlignment="1">
      <alignment vertical="center" wrapText="1"/>
    </xf>
    <xf numFmtId="165" fontId="10" fillId="0" borderId="8" xfId="5" applyFont="1" applyFill="1" applyBorder="1" applyAlignment="1">
      <alignment vertical="center" wrapText="1"/>
    </xf>
    <xf numFmtId="171" fontId="10" fillId="0" borderId="8" xfId="5" applyNumberFormat="1" applyFont="1" applyFill="1" applyBorder="1" applyAlignment="1">
      <alignment vertical="center" wrapText="1"/>
    </xf>
    <xf numFmtId="165" fontId="25" fillId="0" borderId="8" xfId="5" applyFont="1" applyFill="1" applyBorder="1" applyAlignment="1">
      <alignment vertical="center" wrapText="1"/>
    </xf>
    <xf numFmtId="165" fontId="10" fillId="3" borderId="4" xfId="5" applyFont="1" applyFill="1" applyBorder="1" applyAlignment="1">
      <alignment vertical="center" wrapText="1"/>
    </xf>
    <xf numFmtId="171" fontId="10" fillId="4" borderId="1" xfId="5" applyNumberFormat="1" applyFont="1" applyFill="1" applyBorder="1" applyAlignment="1">
      <alignment vertical="center" wrapText="1"/>
    </xf>
    <xf numFmtId="165" fontId="10" fillId="0" borderId="4" xfId="5" applyFont="1" applyFill="1" applyBorder="1" applyAlignment="1">
      <alignment vertical="center" wrapText="1"/>
    </xf>
    <xf numFmtId="165" fontId="10" fillId="0" borderId="0" xfId="5" applyFont="1" applyFill="1" applyBorder="1" applyAlignment="1">
      <alignment vertical="center" wrapText="1"/>
    </xf>
    <xf numFmtId="171" fontId="10" fillId="0" borderId="0" xfId="5" applyNumberFormat="1" applyFont="1" applyFill="1" applyBorder="1" applyAlignment="1">
      <alignment vertical="center" wrapText="1"/>
    </xf>
    <xf numFmtId="2" fontId="10" fillId="3" borderId="1" xfId="5" applyNumberFormat="1" applyFont="1" applyFill="1" applyBorder="1" applyAlignment="1">
      <alignment horizontal="center" vertical="center" wrapText="1"/>
    </xf>
    <xf numFmtId="172" fontId="10" fillId="3" borderId="1" xfId="5" applyNumberFormat="1" applyFont="1" applyFill="1" applyBorder="1" applyAlignment="1">
      <alignment horizontal="center" vertical="center" wrapText="1"/>
    </xf>
    <xf numFmtId="169" fontId="10" fillId="0" borderId="1" xfId="5" applyNumberFormat="1" applyFont="1" applyFill="1" applyBorder="1" applyAlignment="1">
      <alignment vertical="center" wrapText="1"/>
    </xf>
    <xf numFmtId="169" fontId="25" fillId="0" borderId="1" xfId="5" applyNumberFormat="1" applyFont="1" applyFill="1" applyBorder="1" applyAlignment="1">
      <alignment vertical="center" wrapText="1"/>
    </xf>
    <xf numFmtId="169" fontId="24" fillId="2" borderId="1" xfId="5" applyNumberFormat="1" applyFont="1" applyFill="1" applyBorder="1" applyAlignment="1">
      <alignment vertical="center" wrapText="1"/>
    </xf>
    <xf numFmtId="169" fontId="10" fillId="3" borderId="1" xfId="0" applyNumberFormat="1" applyFont="1" applyFill="1" applyBorder="1" applyAlignment="1">
      <alignment vertical="center" wrapText="1"/>
    </xf>
    <xf numFmtId="169" fontId="10" fillId="3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2" fontId="26" fillId="0" borderId="0" xfId="0" applyNumberFormat="1" applyFont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/>
    </xf>
    <xf numFmtId="165" fontId="34" fillId="5" borderId="0" xfId="0" applyNumberFormat="1" applyFont="1" applyFill="1" applyAlignment="1">
      <alignment horizontal="center" vertical="center"/>
    </xf>
    <xf numFmtId="166" fontId="33" fillId="0" borderId="0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2" fontId="26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/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35" fillId="0" borderId="0" xfId="0" applyFont="1"/>
    <xf numFmtId="165" fontId="34" fillId="0" borderId="0" xfId="0" applyNumberFormat="1" applyFont="1" applyFill="1"/>
    <xf numFmtId="0" fontId="36" fillId="0" borderId="0" xfId="0" applyFont="1"/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8" fillId="0" borderId="0" xfId="3" applyBorder="1" applyAlignment="1">
      <alignment horizontal="left" indent="15"/>
    </xf>
    <xf numFmtId="0" fontId="28" fillId="0" borderId="0" xfId="3" applyBorder="1" applyAlignment="1">
      <alignment horizontal="center"/>
    </xf>
    <xf numFmtId="0" fontId="28" fillId="0" borderId="0" xfId="3" applyBorder="1"/>
    <xf numFmtId="0" fontId="28" fillId="0" borderId="0" xfId="3" applyFont="1" applyBorder="1"/>
    <xf numFmtId="0" fontId="29" fillId="0" borderId="0" xfId="3" applyFont="1" applyBorder="1" applyAlignment="1"/>
    <xf numFmtId="0" fontId="29" fillId="0" borderId="0" xfId="3" applyFont="1" applyBorder="1" applyAlignment="1">
      <alignment horizontal="center"/>
    </xf>
    <xf numFmtId="0" fontId="28" fillId="0" borderId="0" xfId="3" applyBorder="1" applyAlignment="1"/>
    <xf numFmtId="0" fontId="28" fillId="0" borderId="0" xfId="3" applyFont="1" applyBorder="1" applyAlignment="1">
      <alignment wrapText="1"/>
    </xf>
    <xf numFmtId="0" fontId="28" fillId="0" borderId="0" xfId="3" applyFont="1" applyBorder="1" applyAlignment="1">
      <alignment horizontal="center" wrapText="1"/>
    </xf>
    <xf numFmtId="174" fontId="28" fillId="0" borderId="0" xfId="3" applyNumberFormat="1" applyBorder="1" applyAlignment="1">
      <alignment horizontal="center"/>
    </xf>
    <xf numFmtId="2" fontId="28" fillId="0" borderId="0" xfId="3" applyNumberFormat="1" applyBorder="1" applyAlignment="1">
      <alignment horizontal="center"/>
    </xf>
    <xf numFmtId="2" fontId="29" fillId="0" borderId="0" xfId="3" applyNumberFormat="1" applyFont="1" applyBorder="1" applyAlignment="1">
      <alignment horizontal="center"/>
    </xf>
    <xf numFmtId="0" fontId="29" fillId="0" borderId="0" xfId="3" applyFont="1" applyBorder="1"/>
    <xf numFmtId="0" fontId="29" fillId="0" borderId="0" xfId="3" applyFont="1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28" fillId="0" borderId="0" xfId="3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9" fontId="26" fillId="0" borderId="0" xfId="4" applyFont="1" applyFill="1"/>
    <xf numFmtId="167" fontId="7" fillId="0" borderId="1" xfId="4" applyNumberFormat="1" applyFont="1" applyFill="1" applyBorder="1" applyAlignment="1">
      <alignment vertical="center"/>
    </xf>
    <xf numFmtId="0" fontId="28" fillId="0" borderId="1" xfId="2" applyBorder="1" applyAlignment="1">
      <alignment horizontal="center" vertical="center" wrapText="1"/>
    </xf>
    <xf numFmtId="0" fontId="38" fillId="0" borderId="0" xfId="0" applyFont="1" applyAlignment="1">
      <alignment wrapText="1"/>
    </xf>
    <xf numFmtId="2" fontId="38" fillId="0" borderId="0" xfId="0" applyNumberFormat="1" applyFont="1" applyAlignment="1">
      <alignment wrapText="1"/>
    </xf>
    <xf numFmtId="2" fontId="40" fillId="0" borderId="0" xfId="0" applyNumberFormat="1" applyFont="1" applyAlignment="1">
      <alignment wrapText="1"/>
    </xf>
    <xf numFmtId="0" fontId="7" fillId="0" borderId="9" xfId="0" applyFont="1" applyFill="1" applyBorder="1"/>
    <xf numFmtId="166" fontId="7" fillId="0" borderId="10" xfId="0" applyNumberFormat="1" applyFont="1" applyFill="1" applyBorder="1"/>
    <xf numFmtId="166" fontId="7" fillId="0" borderId="11" xfId="0" applyNumberFormat="1" applyFont="1" applyFill="1" applyBorder="1"/>
    <xf numFmtId="2" fontId="9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67" fontId="7" fillId="0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right" vertical="center"/>
    </xf>
    <xf numFmtId="2" fontId="14" fillId="0" borderId="5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2" fontId="41" fillId="0" borderId="1" xfId="0" applyNumberFormat="1" applyFont="1" applyFill="1" applyBorder="1" applyAlignment="1">
      <alignment horizontal="right" vertical="center"/>
    </xf>
    <xf numFmtId="167" fontId="41" fillId="0" borderId="1" xfId="4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2" fontId="24" fillId="6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30" fillId="0" borderId="0" xfId="0" applyFont="1" applyBorder="1" applyAlignment="1">
      <alignment wrapText="1"/>
    </xf>
    <xf numFmtId="2" fontId="30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10" fontId="7" fillId="7" borderId="1" xfId="0" applyNumberFormat="1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vertical="center" wrapText="1"/>
    </xf>
    <xf numFmtId="2" fontId="11" fillId="7" borderId="1" xfId="0" applyNumberFormat="1" applyFont="1" applyFill="1" applyBorder="1" applyAlignment="1">
      <alignment horizontal="center" vertical="center"/>
    </xf>
    <xf numFmtId="2" fontId="13" fillId="7" borderId="1" xfId="0" applyNumberFormat="1" applyFont="1" applyFill="1" applyBorder="1" applyAlignment="1">
      <alignment horizontal="center"/>
    </xf>
    <xf numFmtId="9" fontId="7" fillId="7" borderId="1" xfId="0" applyNumberFormat="1" applyFont="1" applyFill="1" applyBorder="1" applyAlignment="1">
      <alignment horizontal="center" vertical="center"/>
    </xf>
    <xf numFmtId="167" fontId="7" fillId="7" borderId="1" xfId="0" applyNumberFormat="1" applyFont="1" applyFill="1" applyBorder="1" applyAlignment="1">
      <alignment horizontal="center" vertical="center"/>
    </xf>
    <xf numFmtId="167" fontId="8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vertical="center"/>
    </xf>
    <xf numFmtId="2" fontId="24" fillId="7" borderId="1" xfId="0" applyNumberFormat="1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right" vertical="center"/>
    </xf>
    <xf numFmtId="2" fontId="7" fillId="7" borderId="1" xfId="0" applyNumberFormat="1" applyFont="1" applyFill="1" applyBorder="1" applyAlignment="1">
      <alignment horizontal="center"/>
    </xf>
    <xf numFmtId="2" fontId="16" fillId="7" borderId="1" xfId="0" applyNumberFormat="1" applyFont="1" applyFill="1" applyBorder="1" applyAlignment="1">
      <alignment horizontal="center"/>
    </xf>
    <xf numFmtId="2" fontId="8" fillId="7" borderId="1" xfId="0" applyNumberFormat="1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right" vertical="center"/>
    </xf>
    <xf numFmtId="2" fontId="14" fillId="7" borderId="1" xfId="0" applyNumberFormat="1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 vertical="center"/>
    </xf>
    <xf numFmtId="2" fontId="31" fillId="7" borderId="1" xfId="0" applyNumberFormat="1" applyFont="1" applyFill="1" applyBorder="1" applyAlignment="1">
      <alignment horizontal="right" vertical="center"/>
    </xf>
    <xf numFmtId="167" fontId="7" fillId="7" borderId="1" xfId="4" applyNumberFormat="1" applyFont="1" applyFill="1" applyBorder="1" applyAlignment="1">
      <alignment vertical="center"/>
    </xf>
    <xf numFmtId="166" fontId="24" fillId="7" borderId="1" xfId="0" applyNumberFormat="1" applyFont="1" applyFill="1" applyBorder="1" applyAlignment="1">
      <alignment horizontal="center"/>
    </xf>
    <xf numFmtId="166" fontId="9" fillId="7" borderId="1" xfId="0" applyNumberFormat="1" applyFont="1" applyFill="1" applyBorder="1" applyAlignment="1">
      <alignment horizontal="center" vertical="center"/>
    </xf>
    <xf numFmtId="2" fontId="9" fillId="7" borderId="3" xfId="0" applyNumberFormat="1" applyFont="1" applyFill="1" applyBorder="1" applyAlignment="1">
      <alignment horizontal="center" vertical="center" wrapText="1"/>
    </xf>
    <xf numFmtId="167" fontId="7" fillId="7" borderId="1" xfId="4" applyNumberFormat="1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right" vertical="center" wrapText="1"/>
    </xf>
    <xf numFmtId="2" fontId="41" fillId="7" borderId="1" xfId="0" applyNumberFormat="1" applyFont="1" applyFill="1" applyBorder="1" applyAlignment="1">
      <alignment horizontal="right" vertical="center"/>
    </xf>
    <xf numFmtId="168" fontId="7" fillId="7" borderId="1" xfId="0" applyNumberFormat="1" applyFont="1" applyFill="1" applyBorder="1" applyAlignment="1">
      <alignment horizontal="center" vertical="center"/>
    </xf>
    <xf numFmtId="2" fontId="7" fillId="7" borderId="3" xfId="0" applyNumberFormat="1" applyFont="1" applyFill="1" applyBorder="1" applyAlignment="1">
      <alignment horizontal="center" vertical="center" wrapText="1"/>
    </xf>
    <xf numFmtId="2" fontId="8" fillId="7" borderId="3" xfId="0" applyNumberFormat="1" applyFont="1" applyFill="1" applyBorder="1" applyAlignment="1">
      <alignment horizontal="right" vertical="center" wrapText="1"/>
    </xf>
    <xf numFmtId="167" fontId="7" fillId="7" borderId="1" xfId="0" applyNumberFormat="1" applyFont="1" applyFill="1" applyBorder="1"/>
    <xf numFmtId="166" fontId="24" fillId="7" borderId="1" xfId="0" applyNumberFormat="1" applyFont="1" applyFill="1" applyBorder="1" applyAlignment="1">
      <alignment horizontal="center" vertical="center"/>
    </xf>
    <xf numFmtId="166" fontId="13" fillId="7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/>
    </xf>
    <xf numFmtId="2" fontId="31" fillId="0" borderId="6" xfId="0" applyNumberFormat="1" applyFont="1" applyFill="1" applyBorder="1" applyAlignment="1">
      <alignment horizontal="center" vertical="center"/>
    </xf>
    <xf numFmtId="2" fontId="31" fillId="6" borderId="1" xfId="0" applyNumberFormat="1" applyFont="1" applyFill="1" applyBorder="1" applyAlignment="1">
      <alignment horizontal="center" vertical="center"/>
    </xf>
    <xf numFmtId="2" fontId="31" fillId="7" borderId="1" xfId="0" applyNumberFormat="1" applyFont="1" applyFill="1" applyBorder="1" applyAlignment="1">
      <alignment horizontal="center" vertical="center"/>
    </xf>
    <xf numFmtId="2" fontId="31" fillId="6" borderId="4" xfId="0" applyNumberFormat="1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right" vertical="center"/>
    </xf>
    <xf numFmtId="2" fontId="31" fillId="0" borderId="1" xfId="0" applyNumberFormat="1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167" fontId="7" fillId="0" borderId="5" xfId="0" applyNumberFormat="1" applyFont="1" applyFill="1" applyBorder="1" applyAlignment="1">
      <alignment horizontal="center" vertical="center" wrapText="1"/>
    </xf>
    <xf numFmtId="167" fontId="7" fillId="0" borderId="2" xfId="4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9" fillId="0" borderId="1" xfId="4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3" fontId="7" fillId="0" borderId="0" xfId="0" applyNumberFormat="1" applyFont="1" applyFill="1"/>
    <xf numFmtId="0" fontId="14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right" vertical="center"/>
    </xf>
    <xf numFmtId="2" fontId="31" fillId="0" borderId="4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right"/>
    </xf>
    <xf numFmtId="0" fontId="42" fillId="0" borderId="1" xfId="0" applyFont="1" applyFill="1" applyBorder="1" applyAlignment="1">
      <alignment horizontal="center" vertical="center"/>
    </xf>
    <xf numFmtId="2" fontId="42" fillId="0" borderId="1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vertical="center" wrapText="1"/>
    </xf>
    <xf numFmtId="169" fontId="10" fillId="0" borderId="0" xfId="0" applyNumberFormat="1" applyFont="1" applyFill="1" applyBorder="1" applyAlignment="1">
      <alignment vertical="center" wrapText="1"/>
    </xf>
    <xf numFmtId="169" fontId="24" fillId="0" borderId="0" xfId="0" applyNumberFormat="1" applyFont="1" applyFill="1" applyBorder="1" applyAlignment="1">
      <alignment vertical="center" wrapText="1"/>
    </xf>
    <xf numFmtId="166" fontId="8" fillId="7" borderId="1" xfId="0" applyNumberFormat="1" applyFont="1" applyFill="1" applyBorder="1" applyAlignment="1">
      <alignment vertical="center"/>
    </xf>
    <xf numFmtId="166" fontId="8" fillId="7" borderId="1" xfId="0" applyNumberFormat="1" applyFont="1" applyFill="1" applyBorder="1" applyAlignment="1">
      <alignment horizontal="right" vertical="center"/>
    </xf>
    <xf numFmtId="166" fontId="9" fillId="7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10" fillId="0" borderId="17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169" fontId="12" fillId="3" borderId="1" xfId="5" applyNumberFormat="1" applyFont="1" applyFill="1" applyBorder="1" applyAlignment="1">
      <alignment vertical="center" wrapText="1"/>
    </xf>
    <xf numFmtId="165" fontId="12" fillId="3" borderId="1" xfId="5" applyFont="1" applyFill="1" applyBorder="1" applyAlignment="1">
      <alignment vertical="center" wrapText="1"/>
    </xf>
    <xf numFmtId="9" fontId="7" fillId="0" borderId="0" xfId="4" applyFont="1" applyFill="1"/>
    <xf numFmtId="0" fontId="2" fillId="0" borderId="4" xfId="0" applyFont="1" applyFill="1" applyBorder="1"/>
    <xf numFmtId="0" fontId="7" fillId="0" borderId="19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2" fontId="14" fillId="0" borderId="19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right" vertical="center" wrapText="1"/>
    </xf>
    <xf numFmtId="167" fontId="41" fillId="0" borderId="19" xfId="4" applyNumberFormat="1" applyFont="1" applyFill="1" applyBorder="1" applyAlignment="1">
      <alignment horizontal="right" vertical="center"/>
    </xf>
    <xf numFmtId="2" fontId="13" fillId="0" borderId="19" xfId="0" applyNumberFormat="1" applyFont="1" applyFill="1" applyBorder="1" applyAlignment="1">
      <alignment horizontal="center"/>
    </xf>
    <xf numFmtId="9" fontId="7" fillId="0" borderId="19" xfId="0" applyNumberFormat="1" applyFont="1" applyFill="1" applyBorder="1" applyAlignment="1">
      <alignment horizontal="center" vertical="center"/>
    </xf>
    <xf numFmtId="167" fontId="8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vertical="center"/>
    </xf>
    <xf numFmtId="2" fontId="7" fillId="0" borderId="19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right" vertical="center"/>
    </xf>
    <xf numFmtId="2" fontId="7" fillId="0" borderId="19" xfId="0" applyNumberFormat="1" applyFont="1" applyFill="1" applyBorder="1" applyAlignment="1">
      <alignment horizontal="right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31" fillId="0" borderId="19" xfId="0" applyNumberFormat="1" applyFont="1" applyFill="1" applyBorder="1" applyAlignment="1">
      <alignment horizontal="right" vertical="center"/>
    </xf>
    <xf numFmtId="2" fontId="31" fillId="0" borderId="19" xfId="0" applyNumberFormat="1" applyFont="1" applyFill="1" applyBorder="1" applyAlignment="1">
      <alignment horizontal="center" vertical="center"/>
    </xf>
    <xf numFmtId="2" fontId="24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167" fontId="7" fillId="0" borderId="21" xfId="4" applyNumberFormat="1" applyFont="1" applyFill="1" applyBorder="1" applyAlignment="1">
      <alignment horizontal="center" vertical="center" wrapText="1"/>
    </xf>
    <xf numFmtId="2" fontId="14" fillId="0" borderId="21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vertical="center" wrapText="1"/>
    </xf>
    <xf numFmtId="2" fontId="11" fillId="0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/>
    </xf>
    <xf numFmtId="9" fontId="7" fillId="0" borderId="20" xfId="0" applyNumberFormat="1" applyFont="1" applyFill="1" applyBorder="1" applyAlignment="1">
      <alignment horizontal="center" vertical="center"/>
    </xf>
    <xf numFmtId="167" fontId="7" fillId="0" borderId="20" xfId="0" applyNumberFormat="1" applyFont="1" applyFill="1" applyBorder="1" applyAlignment="1">
      <alignment horizontal="center" vertical="center"/>
    </xf>
    <xf numFmtId="167" fontId="8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vertical="center"/>
    </xf>
    <xf numFmtId="2" fontId="24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right" vertical="center"/>
    </xf>
    <xf numFmtId="2" fontId="7" fillId="0" borderId="20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right" vertical="center"/>
    </xf>
    <xf numFmtId="2" fontId="14" fillId="0" borderId="20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31" fillId="0" borderId="20" xfId="0" applyNumberFormat="1" applyFont="1" applyFill="1" applyBorder="1" applyAlignment="1">
      <alignment horizontal="right" vertical="center"/>
    </xf>
    <xf numFmtId="2" fontId="31" fillId="6" borderId="20" xfId="0" applyNumberFormat="1" applyFont="1" applyFill="1" applyBorder="1" applyAlignment="1">
      <alignment horizontal="center" vertical="center"/>
    </xf>
    <xf numFmtId="2" fontId="24" fillId="6" borderId="20" xfId="0" applyNumberFormat="1" applyFont="1" applyFill="1" applyBorder="1" applyAlignment="1">
      <alignment horizontal="center" vertical="center"/>
    </xf>
    <xf numFmtId="2" fontId="9" fillId="6" borderId="20" xfId="0" applyNumberFormat="1" applyFont="1" applyFill="1" applyBorder="1" applyAlignment="1">
      <alignment horizontal="center" vertical="center"/>
    </xf>
    <xf numFmtId="167" fontId="7" fillId="0" borderId="20" xfId="4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3" fillId="0" borderId="0" xfId="0" applyFont="1" applyAlignment="1">
      <alignment wrapText="1"/>
    </xf>
    <xf numFmtId="2" fontId="43" fillId="0" borderId="0" xfId="0" applyNumberFormat="1" applyFont="1" applyAlignment="1">
      <alignment wrapText="1"/>
    </xf>
    <xf numFmtId="0" fontId="43" fillId="0" borderId="0" xfId="0" applyFont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1" xfId="0" applyFont="1" applyBorder="1"/>
    <xf numFmtId="2" fontId="7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2" fontId="3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4" fillId="0" borderId="0" xfId="1" applyFont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2" fontId="42" fillId="0" borderId="1" xfId="0" applyNumberFormat="1" applyFont="1" applyFill="1" applyBorder="1" applyAlignment="1">
      <alignment horizontal="center" vertical="center"/>
    </xf>
    <xf numFmtId="169" fontId="10" fillId="0" borderId="0" xfId="5" applyNumberFormat="1" applyFont="1" applyFill="1" applyBorder="1" applyAlignment="1">
      <alignment vertical="center" wrapText="1"/>
    </xf>
    <xf numFmtId="169" fontId="25" fillId="0" borderId="0" xfId="5" applyNumberFormat="1" applyFont="1" applyFill="1" applyBorder="1" applyAlignment="1">
      <alignment vertical="center" wrapText="1"/>
    </xf>
    <xf numFmtId="0" fontId="27" fillId="2" borderId="0" xfId="0" applyFont="1" applyFill="1" applyAlignment="1">
      <alignment horizontal="center"/>
    </xf>
    <xf numFmtId="165" fontId="34" fillId="2" borderId="0" xfId="0" applyNumberFormat="1" applyFont="1" applyFill="1"/>
    <xf numFmtId="0" fontId="27" fillId="2" borderId="0" xfId="0" applyFont="1" applyFill="1"/>
    <xf numFmtId="0" fontId="27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0" xfId="0" applyFont="1"/>
    <xf numFmtId="0" fontId="27" fillId="0" borderId="0" xfId="0" applyFont="1"/>
    <xf numFmtId="0" fontId="27" fillId="6" borderId="0" xfId="0" applyFont="1" applyFill="1" applyAlignment="1">
      <alignment horizontal="center"/>
    </xf>
    <xf numFmtId="165" fontId="34" fillId="6" borderId="0" xfId="0" applyNumberFormat="1" applyFont="1" applyFill="1"/>
    <xf numFmtId="0" fontId="27" fillId="6" borderId="0" xfId="0" applyFont="1" applyFill="1"/>
    <xf numFmtId="0" fontId="27" fillId="6" borderId="0" xfId="0" applyFont="1" applyFill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2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6" borderId="0" xfId="0" applyFont="1" applyFill="1" applyAlignment="1">
      <alignment horizontal="center" vertical="center" wrapText="1"/>
    </xf>
    <xf numFmtId="2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2" fontId="49" fillId="0" borderId="1" xfId="0" applyNumberFormat="1" applyFont="1" applyFill="1" applyBorder="1" applyAlignment="1">
      <alignment horizontal="center" vertical="center"/>
    </xf>
    <xf numFmtId="2" fontId="50" fillId="0" borderId="1" xfId="0" applyNumberFormat="1" applyFont="1" applyFill="1" applyBorder="1" applyAlignment="1">
      <alignment vertical="center"/>
    </xf>
    <xf numFmtId="2" fontId="49" fillId="0" borderId="20" xfId="0" applyNumberFormat="1" applyFont="1" applyFill="1" applyBorder="1" applyAlignment="1">
      <alignment horizontal="center" vertical="center"/>
    </xf>
    <xf numFmtId="2" fontId="50" fillId="0" borderId="20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wrapText="1"/>
    </xf>
    <xf numFmtId="167" fontId="7" fillId="0" borderId="1" xfId="4" applyNumberFormat="1" applyFont="1" applyBorder="1" applyAlignment="1">
      <alignment horizontal="center"/>
    </xf>
    <xf numFmtId="0" fontId="0" fillId="0" borderId="1" xfId="0" applyFill="1" applyBorder="1"/>
    <xf numFmtId="173" fontId="7" fillId="0" borderId="1" xfId="0" applyNumberFormat="1" applyFont="1" applyBorder="1" applyAlignment="1">
      <alignment horizontal="center" vertical="center"/>
    </xf>
    <xf numFmtId="167" fontId="7" fillId="0" borderId="5" xfId="4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0" fontId="33" fillId="0" borderId="24" xfId="4" applyNumberFormat="1" applyFont="1" applyBorder="1" applyAlignment="1">
      <alignment horizontal="center" vertical="center" wrapText="1"/>
    </xf>
    <xf numFmtId="10" fontId="33" fillId="0" borderId="23" xfId="4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0" fontId="12" fillId="3" borderId="1" xfId="5" applyNumberFormat="1" applyFont="1" applyFill="1" applyBorder="1" applyAlignment="1">
      <alignment vertical="center" wrapText="1"/>
    </xf>
    <xf numFmtId="171" fontId="12" fillId="3" borderId="1" xfId="5" applyNumberFormat="1" applyFont="1" applyFill="1" applyBorder="1" applyAlignment="1">
      <alignment vertical="center" wrapText="1"/>
    </xf>
    <xf numFmtId="167" fontId="22" fillId="0" borderId="1" xfId="4" applyNumberFormat="1" applyFont="1" applyBorder="1" applyAlignment="1">
      <alignment wrapText="1"/>
    </xf>
    <xf numFmtId="2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0" fillId="7" borderId="0" xfId="0" applyFill="1"/>
    <xf numFmtId="2" fontId="0" fillId="7" borderId="0" xfId="0" applyNumberFormat="1" applyFill="1"/>
    <xf numFmtId="0" fontId="56" fillId="0" borderId="0" xfId="0" applyFont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0" xfId="0" applyFont="1" applyBorder="1"/>
    <xf numFmtId="2" fontId="53" fillId="0" borderId="11" xfId="0" applyNumberFormat="1" applyFont="1" applyBorder="1"/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/>
    <xf numFmtId="2" fontId="53" fillId="0" borderId="28" xfId="0" applyNumberFormat="1" applyFont="1" applyBorder="1"/>
    <xf numFmtId="0" fontId="52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2" fillId="0" borderId="14" xfId="0" applyFont="1" applyBorder="1" applyAlignment="1">
      <alignment horizontal="center" vertical="center" wrapText="1"/>
    </xf>
    <xf numFmtId="2" fontId="52" fillId="0" borderId="16" xfId="0" applyNumberFormat="1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2" fontId="43" fillId="0" borderId="31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vertical="center" wrapText="1"/>
    </xf>
    <xf numFmtId="0" fontId="0" fillId="0" borderId="0" xfId="0" applyAlignment="1"/>
    <xf numFmtId="2" fontId="0" fillId="7" borderId="25" xfId="0" applyNumberFormat="1" applyFill="1" applyBorder="1" applyAlignment="1">
      <alignment wrapText="1"/>
    </xf>
    <xf numFmtId="2" fontId="0" fillId="7" borderId="30" xfId="0" applyNumberFormat="1" applyFill="1" applyBorder="1" applyAlignment="1">
      <alignment wrapText="1"/>
    </xf>
    <xf numFmtId="2" fontId="0" fillId="7" borderId="31" xfId="0" applyNumberFormat="1" applyFill="1" applyBorder="1" applyAlignment="1">
      <alignment wrapText="1"/>
    </xf>
    <xf numFmtId="0" fontId="0" fillId="8" borderId="14" xfId="0" applyFill="1" applyBorder="1" applyAlignment="1">
      <alignment wrapText="1"/>
    </xf>
    <xf numFmtId="2" fontId="0" fillId="8" borderId="15" xfId="0" applyNumberFormat="1" applyFill="1" applyBorder="1" applyAlignment="1">
      <alignment wrapText="1"/>
    </xf>
    <xf numFmtId="2" fontId="0" fillId="8" borderId="16" xfId="0" applyNumberFormat="1" applyFill="1" applyBorder="1" applyAlignment="1">
      <alignment wrapText="1"/>
    </xf>
    <xf numFmtId="0" fontId="53" fillId="0" borderId="0" xfId="0" applyFont="1" applyAlignment="1">
      <alignment vertical="center" wrapText="1"/>
    </xf>
    <xf numFmtId="2" fontId="31" fillId="0" borderId="4" xfId="0" applyNumberFormat="1" applyFont="1" applyFill="1" applyBorder="1" applyAlignment="1">
      <alignment horizontal="right" vertical="center"/>
    </xf>
    <xf numFmtId="0" fontId="0" fillId="8" borderId="0" xfId="0" applyFill="1" applyAlignment="1">
      <alignment horizontal="center" vertical="center" wrapText="1"/>
    </xf>
    <xf numFmtId="2" fontId="0" fillId="8" borderId="0" xfId="0" applyNumberFormat="1" applyFill="1" applyAlignment="1">
      <alignment horizontal="center" vertical="center" wrapText="1"/>
    </xf>
    <xf numFmtId="2" fontId="0" fillId="7" borderId="0" xfId="0" applyNumberFormat="1" applyFill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2" fontId="57" fillId="0" borderId="31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2" fontId="57" fillId="0" borderId="16" xfId="0" applyNumberFormat="1" applyFont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" fontId="42" fillId="0" borderId="0" xfId="0" applyNumberFormat="1" applyFont="1" applyFill="1" applyAlignment="1">
      <alignment horizontal="center"/>
    </xf>
    <xf numFmtId="2" fontId="7" fillId="0" borderId="1" xfId="4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0" fontId="26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32" xfId="1" applyFont="1" applyBorder="1" applyAlignment="1">
      <alignment horizontal="center" vertical="center" wrapText="1"/>
    </xf>
    <xf numFmtId="0" fontId="32" fillId="0" borderId="33" xfId="1" applyFont="1" applyBorder="1" applyAlignment="1">
      <alignment horizontal="center" vertical="center" wrapText="1"/>
    </xf>
    <xf numFmtId="166" fontId="32" fillId="0" borderId="0" xfId="1" applyNumberFormat="1" applyFont="1" applyAlignment="1">
      <alignment vertical="center" wrapText="1"/>
    </xf>
    <xf numFmtId="166" fontId="32" fillId="0" borderId="0" xfId="1" applyNumberFormat="1" applyFont="1" applyAlignment="1">
      <alignment vertical="center"/>
    </xf>
    <xf numFmtId="2" fontId="32" fillId="0" borderId="0" xfId="1" applyNumberFormat="1" applyFont="1" applyBorder="1" applyAlignment="1">
      <alignment horizontal="center" vertical="center" wrapText="1"/>
    </xf>
    <xf numFmtId="10" fontId="33" fillId="0" borderId="32" xfId="1" applyNumberFormat="1" applyFont="1" applyBorder="1" applyAlignment="1">
      <alignment horizontal="center" vertical="center" wrapText="1"/>
    </xf>
    <xf numFmtId="10" fontId="33" fillId="0" borderId="33" xfId="1" applyNumberFormat="1" applyFont="1" applyBorder="1" applyAlignment="1">
      <alignment horizontal="center" vertical="center" wrapText="1"/>
    </xf>
    <xf numFmtId="165" fontId="24" fillId="0" borderId="0" xfId="5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right" vertical="center"/>
    </xf>
    <xf numFmtId="2" fontId="42" fillId="0" borderId="13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right" vertical="center"/>
    </xf>
    <xf numFmtId="2" fontId="31" fillId="0" borderId="13" xfId="0" applyNumberFormat="1" applyFont="1" applyFill="1" applyBorder="1" applyAlignment="1">
      <alignment horizontal="center" vertical="center"/>
    </xf>
    <xf numFmtId="167" fontId="7" fillId="0" borderId="13" xfId="4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167" fontId="7" fillId="0" borderId="6" xfId="0" applyNumberFormat="1" applyFont="1" applyFill="1" applyBorder="1" applyAlignment="1">
      <alignment horizontal="center" vertical="center"/>
    </xf>
    <xf numFmtId="167" fontId="11" fillId="0" borderId="6" xfId="4" applyNumberFormat="1" applyFont="1" applyFill="1" applyBorder="1" applyAlignment="1">
      <alignment horizontal="center" vertical="center"/>
    </xf>
    <xf numFmtId="9" fontId="7" fillId="0" borderId="6" xfId="0" applyNumberFormat="1" applyFont="1" applyFill="1" applyBorder="1" applyAlignment="1">
      <alignment horizontal="center" vertical="center"/>
    </xf>
    <xf numFmtId="167" fontId="8" fillId="0" borderId="6" xfId="0" applyNumberFormat="1" applyFont="1" applyFill="1" applyBorder="1" applyAlignment="1">
      <alignment horizontal="center" vertical="center"/>
    </xf>
    <xf numFmtId="2" fontId="31" fillId="0" borderId="6" xfId="0" applyNumberFormat="1" applyFont="1" applyFill="1" applyBorder="1" applyAlignment="1">
      <alignment horizontal="right" vertical="center"/>
    </xf>
    <xf numFmtId="2" fontId="9" fillId="0" borderId="6" xfId="0" applyNumberFormat="1" applyFont="1" applyFill="1" applyBorder="1" applyAlignment="1">
      <alignment vertical="center"/>
    </xf>
    <xf numFmtId="2" fontId="49" fillId="0" borderId="6" xfId="0" applyNumberFormat="1" applyFont="1" applyFill="1" applyBorder="1" applyAlignment="1">
      <alignment horizontal="center" vertical="center"/>
    </xf>
    <xf numFmtId="2" fontId="50" fillId="0" borderId="6" xfId="0" applyNumberFormat="1" applyFont="1" applyFill="1" applyBorder="1" applyAlignment="1">
      <alignment vertical="center"/>
    </xf>
    <xf numFmtId="175" fontId="2" fillId="0" borderId="0" xfId="0" applyNumberFormat="1" applyFont="1"/>
    <xf numFmtId="0" fontId="9" fillId="0" borderId="0" xfId="0" applyFont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167" fontId="7" fillId="0" borderId="17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right" vertical="center"/>
    </xf>
    <xf numFmtId="2" fontId="11" fillId="0" borderId="17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right" vertical="center"/>
    </xf>
    <xf numFmtId="2" fontId="42" fillId="0" borderId="17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vertical="center"/>
    </xf>
    <xf numFmtId="2" fontId="7" fillId="0" borderId="17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right" vertical="center"/>
    </xf>
    <xf numFmtId="2" fontId="10" fillId="0" borderId="17" xfId="0" applyNumberFormat="1" applyFont="1" applyFill="1" applyBorder="1" applyAlignment="1">
      <alignment horizontal="center" vertical="center"/>
    </xf>
    <xf numFmtId="2" fontId="31" fillId="0" borderId="17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/>
    </xf>
    <xf numFmtId="167" fontId="7" fillId="0" borderId="17" xfId="4" applyNumberFormat="1" applyFont="1" applyFill="1" applyBorder="1" applyAlignment="1">
      <alignment vertical="center"/>
    </xf>
    <xf numFmtId="166" fontId="7" fillId="0" borderId="0" xfId="0" applyNumberFormat="1" applyFont="1" applyFill="1" applyBorder="1"/>
    <xf numFmtId="0" fontId="9" fillId="0" borderId="0" xfId="0" applyFont="1" applyFill="1" applyBorder="1" applyAlignment="1">
      <alignment horizontal="center" vertical="center" wrapText="1"/>
    </xf>
    <xf numFmtId="2" fontId="9" fillId="4" borderId="36" xfId="0" applyNumberFormat="1" applyFont="1" applyFill="1" applyBorder="1" applyAlignment="1">
      <alignment horizontal="center" vertical="center" wrapText="1"/>
    </xf>
    <xf numFmtId="2" fontId="7" fillId="4" borderId="36" xfId="0" applyNumberFormat="1" applyFont="1" applyFill="1" applyBorder="1" applyAlignment="1">
      <alignment horizontal="center" vertical="center" wrapText="1"/>
    </xf>
    <xf numFmtId="167" fontId="7" fillId="4" borderId="36" xfId="4" applyNumberFormat="1" applyFont="1" applyFill="1" applyBorder="1" applyAlignment="1">
      <alignment horizontal="center" vertical="center" wrapText="1"/>
    </xf>
    <xf numFmtId="2" fontId="14" fillId="4" borderId="36" xfId="0" applyNumberFormat="1" applyFont="1" applyFill="1" applyBorder="1" applyAlignment="1">
      <alignment horizontal="center" vertical="center" wrapText="1"/>
    </xf>
    <xf numFmtId="2" fontId="8" fillId="4" borderId="36" xfId="0" applyNumberFormat="1" applyFont="1" applyFill="1" applyBorder="1" applyAlignment="1">
      <alignment vertical="center" wrapText="1"/>
    </xf>
    <xf numFmtId="2" fontId="11" fillId="4" borderId="37" xfId="0" applyNumberFormat="1" applyFont="1" applyFill="1" applyBorder="1" applyAlignment="1">
      <alignment horizontal="center" vertical="center"/>
    </xf>
    <xf numFmtId="2" fontId="13" fillId="4" borderId="37" xfId="0" applyNumberFormat="1" applyFont="1" applyFill="1" applyBorder="1" applyAlignment="1">
      <alignment horizontal="center"/>
    </xf>
    <xf numFmtId="9" fontId="7" fillId="4" borderId="37" xfId="0" applyNumberFormat="1" applyFont="1" applyFill="1" applyBorder="1" applyAlignment="1">
      <alignment horizontal="center" vertical="center"/>
    </xf>
    <xf numFmtId="167" fontId="7" fillId="4" borderId="37" xfId="0" applyNumberFormat="1" applyFont="1" applyFill="1" applyBorder="1" applyAlignment="1">
      <alignment horizontal="center" vertical="center"/>
    </xf>
    <xf numFmtId="167" fontId="8" fillId="4" borderId="37" xfId="0" applyNumberFormat="1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2" fontId="9" fillId="4" borderId="37" xfId="0" applyNumberFormat="1" applyFont="1" applyFill="1" applyBorder="1" applyAlignment="1">
      <alignment horizontal="center" vertical="center"/>
    </xf>
    <xf numFmtId="2" fontId="7" fillId="4" borderId="37" xfId="0" applyNumberFormat="1" applyFont="1" applyFill="1" applyBorder="1" applyAlignment="1">
      <alignment horizontal="center" vertical="center"/>
    </xf>
    <xf numFmtId="2" fontId="8" fillId="4" borderId="37" xfId="0" applyNumberFormat="1" applyFont="1" applyFill="1" applyBorder="1" applyAlignment="1">
      <alignment vertical="center"/>
    </xf>
    <xf numFmtId="2" fontId="24" fillId="4" borderId="37" xfId="0" applyNumberFormat="1" applyFont="1" applyFill="1" applyBorder="1" applyAlignment="1">
      <alignment horizontal="center" vertical="center"/>
    </xf>
    <xf numFmtId="2" fontId="31" fillId="4" borderId="37" xfId="0" applyNumberFormat="1" applyFont="1" applyFill="1" applyBorder="1" applyAlignment="1">
      <alignment horizontal="right" vertical="center"/>
    </xf>
    <xf numFmtId="2" fontId="8" fillId="4" borderId="37" xfId="0" applyNumberFormat="1" applyFont="1" applyFill="1" applyBorder="1" applyAlignment="1">
      <alignment horizontal="right" vertical="center"/>
    </xf>
    <xf numFmtId="2" fontId="49" fillId="4" borderId="37" xfId="0" applyNumberFormat="1" applyFont="1" applyFill="1" applyBorder="1" applyAlignment="1">
      <alignment horizontal="center" vertical="center"/>
    </xf>
    <xf numFmtId="2" fontId="50" fillId="4" borderId="37" xfId="0" applyNumberFormat="1" applyFont="1" applyFill="1" applyBorder="1" applyAlignment="1">
      <alignment vertical="center"/>
    </xf>
    <xf numFmtId="2" fontId="7" fillId="4" borderId="37" xfId="0" applyNumberFormat="1" applyFont="1" applyFill="1" applyBorder="1" applyAlignment="1">
      <alignment horizontal="center"/>
    </xf>
    <xf numFmtId="2" fontId="16" fillId="4" borderId="37" xfId="0" applyNumberFormat="1" applyFont="1" applyFill="1" applyBorder="1" applyAlignment="1">
      <alignment horizontal="center"/>
    </xf>
    <xf numFmtId="2" fontId="8" fillId="4" borderId="37" xfId="0" applyNumberFormat="1" applyFont="1" applyFill="1" applyBorder="1" applyAlignment="1">
      <alignment horizontal="center" vertical="center"/>
    </xf>
    <xf numFmtId="2" fontId="7" fillId="4" borderId="37" xfId="0" applyNumberFormat="1" applyFont="1" applyFill="1" applyBorder="1" applyAlignment="1">
      <alignment horizontal="right" vertical="center"/>
    </xf>
    <xf numFmtId="2" fontId="14" fillId="4" borderId="37" xfId="0" applyNumberFormat="1" applyFont="1" applyFill="1" applyBorder="1" applyAlignment="1">
      <alignment horizontal="center" vertical="center"/>
    </xf>
    <xf numFmtId="2" fontId="10" fillId="4" borderId="37" xfId="0" applyNumberFormat="1" applyFont="1" applyFill="1" applyBorder="1" applyAlignment="1">
      <alignment horizontal="center" vertical="center"/>
    </xf>
    <xf numFmtId="2" fontId="31" fillId="4" borderId="37" xfId="0" applyNumberFormat="1" applyFont="1" applyFill="1" applyBorder="1" applyAlignment="1">
      <alignment horizontal="center" vertical="center"/>
    </xf>
    <xf numFmtId="167" fontId="7" fillId="4" borderId="38" xfId="4" applyNumberFormat="1" applyFont="1" applyFill="1" applyBorder="1" applyAlignment="1">
      <alignment vertical="center"/>
    </xf>
    <xf numFmtId="2" fontId="42" fillId="0" borderId="4" xfId="0" applyNumberFormat="1" applyFont="1" applyFill="1" applyBorder="1" applyAlignment="1">
      <alignment horizontal="center" vertical="center"/>
    </xf>
    <xf numFmtId="2" fontId="9" fillId="4" borderId="36" xfId="0" applyNumberFormat="1" applyFont="1" applyFill="1" applyBorder="1" applyAlignment="1">
      <alignment horizontal="center" vertical="center"/>
    </xf>
    <xf numFmtId="2" fontId="7" fillId="4" borderId="36" xfId="0" applyNumberFormat="1" applyFont="1" applyFill="1" applyBorder="1" applyAlignment="1">
      <alignment horizontal="center" vertical="center"/>
    </xf>
    <xf numFmtId="2" fontId="8" fillId="4" borderId="36" xfId="0" applyNumberFormat="1" applyFont="1" applyFill="1" applyBorder="1" applyAlignment="1">
      <alignment horizontal="right" vertical="center"/>
    </xf>
    <xf numFmtId="0" fontId="2" fillId="4" borderId="37" xfId="0" applyFont="1" applyFill="1" applyBorder="1"/>
    <xf numFmtId="2" fontId="42" fillId="4" borderId="37" xfId="0" applyNumberFormat="1" applyFont="1" applyFill="1" applyBorder="1" applyAlignment="1">
      <alignment horizontal="center" vertical="center"/>
    </xf>
    <xf numFmtId="2" fontId="7" fillId="4" borderId="38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9" xfId="0" applyFont="1" applyFill="1" applyBorder="1"/>
    <xf numFmtId="2" fontId="14" fillId="4" borderId="36" xfId="0" applyNumberFormat="1" applyFont="1" applyFill="1" applyBorder="1" applyAlignment="1">
      <alignment horizontal="center" vertical="center"/>
    </xf>
    <xf numFmtId="2" fontId="10" fillId="4" borderId="36" xfId="0" applyNumberFormat="1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9" fontId="41" fillId="0" borderId="4" xfId="4" applyNumberFormat="1" applyFont="1" applyFill="1" applyBorder="1" applyAlignment="1">
      <alignment horizontal="right" vertical="center"/>
    </xf>
    <xf numFmtId="10" fontId="7" fillId="0" borderId="4" xfId="0" applyNumberFormat="1" applyFont="1" applyFill="1" applyBorder="1" applyAlignment="1">
      <alignment horizontal="center" vertical="center"/>
    </xf>
    <xf numFmtId="167" fontId="8" fillId="0" borderId="4" xfId="0" applyNumberFormat="1" applyFont="1" applyFill="1" applyBorder="1" applyAlignment="1">
      <alignment horizontal="center" vertical="center"/>
    </xf>
    <xf numFmtId="2" fontId="24" fillId="6" borderId="4" xfId="0" applyNumberFormat="1" applyFont="1" applyFill="1" applyBorder="1" applyAlignment="1">
      <alignment horizontal="center" vertical="center"/>
    </xf>
    <xf numFmtId="2" fontId="9" fillId="6" borderId="4" xfId="0" applyNumberFormat="1" applyFont="1" applyFill="1" applyBorder="1" applyAlignment="1">
      <alignment horizontal="center" vertical="center"/>
    </xf>
    <xf numFmtId="167" fontId="7" fillId="0" borderId="4" xfId="4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right" vertical="center" wrapText="1"/>
    </xf>
    <xf numFmtId="2" fontId="8" fillId="0" borderId="20" xfId="0" applyNumberFormat="1" applyFont="1" applyFill="1" applyBorder="1" applyAlignment="1">
      <alignment horizontal="right" vertical="center" wrapText="1"/>
    </xf>
    <xf numFmtId="167" fontId="41" fillId="0" borderId="6" xfId="4" applyNumberFormat="1" applyFont="1" applyFill="1" applyBorder="1" applyAlignment="1">
      <alignment horizontal="right" vertical="center"/>
    </xf>
    <xf numFmtId="9" fontId="41" fillId="0" borderId="20" xfId="4" applyNumberFormat="1" applyFont="1" applyFill="1" applyBorder="1" applyAlignment="1">
      <alignment horizontal="right" vertical="center"/>
    </xf>
    <xf numFmtId="10" fontId="7" fillId="0" borderId="20" xfId="0" applyNumberFormat="1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167" fontId="7" fillId="0" borderId="41" xfId="4" applyNumberFormat="1" applyFont="1" applyFill="1" applyBorder="1" applyAlignment="1">
      <alignment vertical="center"/>
    </xf>
    <xf numFmtId="167" fontId="7" fillId="7" borderId="41" xfId="4" applyNumberFormat="1" applyFont="1" applyFill="1" applyBorder="1" applyAlignment="1">
      <alignment vertical="center"/>
    </xf>
    <xf numFmtId="167" fontId="7" fillId="0" borderId="42" xfId="4" applyNumberFormat="1" applyFont="1" applyFill="1" applyBorder="1" applyAlignment="1">
      <alignment vertical="center"/>
    </xf>
    <xf numFmtId="2" fontId="9" fillId="0" borderId="19" xfId="0" applyNumberFormat="1" applyFont="1" applyFill="1" applyBorder="1" applyAlignment="1">
      <alignment vertical="center"/>
    </xf>
    <xf numFmtId="2" fontId="9" fillId="0" borderId="43" xfId="0" applyNumberFormat="1" applyFont="1" applyFill="1" applyBorder="1" applyAlignment="1">
      <alignment horizontal="center" vertical="center" wrapText="1"/>
    </xf>
    <xf numFmtId="2" fontId="7" fillId="0" borderId="43" xfId="0" applyNumberFormat="1" applyFont="1" applyFill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center" vertical="center"/>
    </xf>
    <xf numFmtId="167" fontId="7" fillId="0" borderId="44" xfId="0" applyNumberFormat="1" applyFont="1" applyFill="1" applyBorder="1" applyAlignment="1">
      <alignment horizontal="center" vertical="center"/>
    </xf>
    <xf numFmtId="2" fontId="14" fillId="0" borderId="44" xfId="0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right" vertical="center" wrapText="1"/>
    </xf>
    <xf numFmtId="2" fontId="11" fillId="0" borderId="44" xfId="0" applyNumberFormat="1" applyFont="1" applyFill="1" applyBorder="1" applyAlignment="1">
      <alignment horizontal="center" vertical="center"/>
    </xf>
    <xf numFmtId="9" fontId="41" fillId="0" borderId="44" xfId="4" applyNumberFormat="1" applyFont="1" applyFill="1" applyBorder="1" applyAlignment="1">
      <alignment horizontal="right" vertical="center"/>
    </xf>
    <xf numFmtId="2" fontId="13" fillId="0" borderId="44" xfId="0" applyNumberFormat="1" applyFont="1" applyFill="1" applyBorder="1" applyAlignment="1">
      <alignment horizontal="center"/>
    </xf>
    <xf numFmtId="10" fontId="7" fillId="0" borderId="44" xfId="0" applyNumberFormat="1" applyFont="1" applyFill="1" applyBorder="1" applyAlignment="1">
      <alignment horizontal="center" vertical="center"/>
    </xf>
    <xf numFmtId="167" fontId="8" fillId="0" borderId="44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vertical="center"/>
    </xf>
    <xf numFmtId="2" fontId="8" fillId="0" borderId="44" xfId="0" applyNumberFormat="1" applyFont="1" applyFill="1" applyBorder="1" applyAlignment="1">
      <alignment horizontal="right" vertical="center"/>
    </xf>
    <xf numFmtId="2" fontId="7" fillId="0" borderId="44" xfId="0" applyNumberFormat="1" applyFont="1" applyFill="1" applyBorder="1" applyAlignment="1">
      <alignment horizontal="right" vertical="center"/>
    </xf>
    <xf numFmtId="2" fontId="10" fillId="0" borderId="44" xfId="0" applyNumberFormat="1" applyFont="1" applyFill="1" applyBorder="1" applyAlignment="1">
      <alignment horizontal="center" vertical="center"/>
    </xf>
    <xf numFmtId="2" fontId="31" fillId="0" borderId="44" xfId="0" applyNumberFormat="1" applyFont="1" applyFill="1" applyBorder="1" applyAlignment="1">
      <alignment horizontal="right" vertical="center"/>
    </xf>
    <xf numFmtId="2" fontId="31" fillId="6" borderId="44" xfId="0" applyNumberFormat="1" applyFont="1" applyFill="1" applyBorder="1" applyAlignment="1">
      <alignment horizontal="center" vertical="center"/>
    </xf>
    <xf numFmtId="2" fontId="24" fillId="6" borderId="44" xfId="0" applyNumberFormat="1" applyFont="1" applyFill="1" applyBorder="1" applyAlignment="1">
      <alignment horizontal="center" vertical="center"/>
    </xf>
    <xf numFmtId="2" fontId="9" fillId="6" borderId="44" xfId="0" applyNumberFormat="1" applyFont="1" applyFill="1" applyBorder="1" applyAlignment="1">
      <alignment horizontal="center" vertical="center"/>
    </xf>
    <xf numFmtId="167" fontId="7" fillId="0" borderId="45" xfId="4" applyNumberFormat="1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7" fillId="9" borderId="6" xfId="0" applyNumberFormat="1" applyFont="1" applyFill="1" applyBorder="1" applyAlignment="1">
      <alignment horizontal="right" vertical="center"/>
    </xf>
    <xf numFmtId="2" fontId="7" fillId="9" borderId="1" xfId="0" applyNumberFormat="1" applyFont="1" applyFill="1" applyBorder="1" applyAlignment="1">
      <alignment horizontal="right" vertical="center"/>
    </xf>
    <xf numFmtId="2" fontId="7" fillId="9" borderId="20" xfId="0" applyNumberFormat="1" applyFont="1" applyFill="1" applyBorder="1" applyAlignment="1">
      <alignment horizontal="right" vertical="center"/>
    </xf>
    <xf numFmtId="2" fontId="7" fillId="10" borderId="6" xfId="0" applyNumberFormat="1" applyFont="1" applyFill="1" applyBorder="1" applyAlignment="1">
      <alignment horizontal="right" vertical="center"/>
    </xf>
    <xf numFmtId="2" fontId="7" fillId="10" borderId="1" xfId="0" applyNumberFormat="1" applyFont="1" applyFill="1" applyBorder="1" applyAlignment="1">
      <alignment horizontal="right" vertical="center"/>
    </xf>
    <xf numFmtId="2" fontId="7" fillId="10" borderId="20" xfId="0" applyNumberFormat="1" applyFont="1" applyFill="1" applyBorder="1" applyAlignment="1">
      <alignment horizontal="right" vertical="center"/>
    </xf>
    <xf numFmtId="2" fontId="8" fillId="9" borderId="6" xfId="0" applyNumberFormat="1" applyFont="1" applyFill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2" fontId="8" fillId="9" borderId="20" xfId="0" applyNumberFormat="1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right" vertical="center"/>
    </xf>
    <xf numFmtId="173" fontId="13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/>
    <xf numFmtId="2" fontId="7" fillId="0" borderId="44" xfId="0" applyNumberFormat="1" applyFont="1" applyFill="1" applyBorder="1" applyAlignment="1">
      <alignment horizontal="center"/>
    </xf>
    <xf numFmtId="2" fontId="16" fillId="0" borderId="44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right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7" fillId="0" borderId="46" xfId="0" applyFont="1" applyFill="1" applyBorder="1"/>
    <xf numFmtId="167" fontId="8" fillId="0" borderId="46" xfId="0" applyNumberFormat="1" applyFont="1" applyFill="1" applyBorder="1" applyAlignment="1">
      <alignment horizontal="center" vertical="center"/>
    </xf>
    <xf numFmtId="2" fontId="9" fillId="0" borderId="46" xfId="0" applyNumberFormat="1" applyFont="1" applyFill="1" applyBorder="1" applyAlignment="1">
      <alignment horizontal="center" vertical="center"/>
    </xf>
    <xf numFmtId="2" fontId="24" fillId="0" borderId="46" xfId="0" applyNumberFormat="1" applyFont="1" applyBorder="1" applyAlignment="1">
      <alignment horizontal="center" vertical="center"/>
    </xf>
    <xf numFmtId="2" fontId="9" fillId="0" borderId="46" xfId="0" applyNumberFormat="1" applyFont="1" applyFill="1" applyBorder="1" applyAlignment="1">
      <alignment horizontal="center"/>
    </xf>
    <xf numFmtId="2" fontId="9" fillId="0" borderId="47" xfId="0" applyNumberFormat="1" applyFont="1" applyFill="1" applyBorder="1" applyAlignment="1">
      <alignment horizontal="center" vertical="center"/>
    </xf>
    <xf numFmtId="2" fontId="9" fillId="4" borderId="48" xfId="0" applyNumberFormat="1" applyFont="1" applyFill="1" applyBorder="1" applyAlignment="1">
      <alignment horizontal="center" vertical="center"/>
    </xf>
    <xf numFmtId="2" fontId="9" fillId="0" borderId="49" xfId="0" applyNumberFormat="1" applyFont="1" applyFill="1" applyBorder="1" applyAlignment="1">
      <alignment horizontal="center" vertical="center"/>
    </xf>
    <xf numFmtId="2" fontId="24" fillId="0" borderId="34" xfId="0" applyNumberFormat="1" applyFont="1" applyFill="1" applyBorder="1" applyAlignment="1">
      <alignment horizontal="center" vertical="center"/>
    </xf>
    <xf numFmtId="2" fontId="24" fillId="0" borderId="46" xfId="0" applyNumberFormat="1" applyFont="1" applyFill="1" applyBorder="1" applyAlignment="1">
      <alignment horizontal="center" vertical="center"/>
    </xf>
    <xf numFmtId="166" fontId="9" fillId="7" borderId="46" xfId="0" applyNumberFormat="1" applyFont="1" applyFill="1" applyBorder="1" applyAlignment="1">
      <alignment horizontal="center" vertical="center"/>
    </xf>
    <xf numFmtId="2" fontId="24" fillId="0" borderId="50" xfId="0" applyNumberFormat="1" applyFont="1" applyFill="1" applyBorder="1" applyAlignment="1">
      <alignment horizontal="center" vertical="center"/>
    </xf>
    <xf numFmtId="2" fontId="24" fillId="4" borderId="48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7" borderId="46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2" fontId="13" fillId="4" borderId="36" xfId="0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2" fontId="13" fillId="7" borderId="3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2" fontId="13" fillId="9" borderId="7" xfId="0" applyNumberFormat="1" applyFont="1" applyFill="1" applyBorder="1" applyAlignment="1">
      <alignment horizontal="center"/>
    </xf>
    <xf numFmtId="2" fontId="13" fillId="9" borderId="3" xfId="0" applyNumberFormat="1" applyFont="1" applyFill="1" applyBorder="1" applyAlignment="1">
      <alignment horizontal="center"/>
    </xf>
    <xf numFmtId="2" fontId="13" fillId="9" borderId="21" xfId="0" applyNumberFormat="1" applyFont="1" applyFill="1" applyBorder="1" applyAlignment="1">
      <alignment horizontal="center"/>
    </xf>
    <xf numFmtId="49" fontId="13" fillId="0" borderId="53" xfId="0" applyNumberFormat="1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left" wrapText="1"/>
    </xf>
    <xf numFmtId="0" fontId="13" fillId="0" borderId="54" xfId="0" applyFont="1" applyFill="1" applyBorder="1" applyAlignment="1">
      <alignment horizontal="center"/>
    </xf>
    <xf numFmtId="2" fontId="13" fillId="0" borderId="54" xfId="0" applyNumberFormat="1" applyFont="1" applyFill="1" applyBorder="1" applyAlignment="1">
      <alignment horizontal="center"/>
    </xf>
    <xf numFmtId="2" fontId="13" fillId="0" borderId="55" xfId="0" applyNumberFormat="1" applyFont="1" applyFill="1" applyBorder="1" applyAlignment="1">
      <alignment horizontal="center"/>
    </xf>
    <xf numFmtId="2" fontId="13" fillId="4" borderId="56" xfId="0" applyNumberFormat="1" applyFont="1" applyFill="1" applyBorder="1" applyAlignment="1">
      <alignment horizontal="center"/>
    </xf>
    <xf numFmtId="2" fontId="13" fillId="0" borderId="57" xfId="0" applyNumberFormat="1" applyFont="1" applyFill="1" applyBorder="1" applyAlignment="1">
      <alignment horizontal="center"/>
    </xf>
    <xf numFmtId="166" fontId="13" fillId="0" borderId="53" xfId="0" applyNumberFormat="1" applyFont="1" applyFill="1" applyBorder="1" applyAlignment="1">
      <alignment horizontal="center"/>
    </xf>
    <xf numFmtId="166" fontId="24" fillId="7" borderId="54" xfId="0" applyNumberFormat="1" applyFont="1" applyFill="1" applyBorder="1" applyAlignment="1">
      <alignment horizontal="center"/>
    </xf>
    <xf numFmtId="2" fontId="13" fillId="0" borderId="58" xfId="0" applyNumberFormat="1" applyFont="1" applyFill="1" applyBorder="1" applyAlignment="1">
      <alignment horizontal="center"/>
    </xf>
    <xf numFmtId="2" fontId="13" fillId="0" borderId="59" xfId="0" applyNumberFormat="1" applyFont="1" applyFill="1" applyBorder="1" applyAlignment="1">
      <alignment horizontal="center"/>
    </xf>
    <xf numFmtId="2" fontId="13" fillId="7" borderId="54" xfId="0" applyNumberFormat="1" applyFont="1" applyFill="1" applyBorder="1" applyAlignment="1">
      <alignment horizontal="center"/>
    </xf>
    <xf numFmtId="2" fontId="13" fillId="0" borderId="53" xfId="0" applyNumberFormat="1" applyFont="1" applyFill="1" applyBorder="1" applyAlignment="1">
      <alignment horizontal="center"/>
    </xf>
    <xf numFmtId="2" fontId="13" fillId="0" borderId="60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0" fillId="0" borderId="61" xfId="0" applyFill="1" applyBorder="1"/>
    <xf numFmtId="49" fontId="7" fillId="0" borderId="40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/>
    </xf>
    <xf numFmtId="2" fontId="7" fillId="0" borderId="63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7" borderId="41" xfId="0" applyNumberFormat="1" applyFont="1" applyFill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 vertical="center"/>
    </xf>
    <xf numFmtId="2" fontId="7" fillId="0" borderId="64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/>
    </xf>
    <xf numFmtId="166" fontId="7" fillId="7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2" fontId="14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0" fillId="0" borderId="37" xfId="0" applyBorder="1"/>
    <xf numFmtId="2" fontId="2" fillId="0" borderId="37" xfId="0" applyNumberFormat="1" applyFont="1" applyBorder="1"/>
    <xf numFmtId="0" fontId="4" fillId="0" borderId="37" xfId="0" applyFont="1" applyBorder="1"/>
    <xf numFmtId="0" fontId="1" fillId="0" borderId="37" xfId="0" applyFont="1" applyBorder="1"/>
    <xf numFmtId="0" fontId="2" fillId="0" borderId="37" xfId="0" applyFont="1" applyBorder="1"/>
    <xf numFmtId="0" fontId="2" fillId="0" borderId="37" xfId="0" applyFont="1" applyFill="1" applyBorder="1"/>
    <xf numFmtId="0" fontId="5" fillId="0" borderId="37" xfId="0" applyFont="1" applyFill="1" applyBorder="1" applyAlignment="1"/>
    <xf numFmtId="0" fontId="1" fillId="0" borderId="37" xfId="0" applyFont="1" applyFill="1" applyBorder="1"/>
    <xf numFmtId="0" fontId="0" fillId="0" borderId="37" xfId="0" applyFill="1" applyBorder="1"/>
    <xf numFmtId="0" fontId="3" fillId="0" borderId="37" xfId="0" applyFont="1" applyFill="1" applyBorder="1"/>
    <xf numFmtId="0" fontId="6" fillId="0" borderId="37" xfId="0" applyFont="1" applyBorder="1"/>
    <xf numFmtId="0" fontId="0" fillId="0" borderId="38" xfId="0" applyFont="1" applyBorder="1"/>
    <xf numFmtId="0" fontId="0" fillId="0" borderId="36" xfId="0" applyBorder="1"/>
    <xf numFmtId="173" fontId="13" fillId="7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right" vertical="center"/>
    </xf>
    <xf numFmtId="2" fontId="16" fillId="7" borderId="1" xfId="0" applyNumberFormat="1" applyFont="1" applyFill="1" applyBorder="1" applyAlignment="1">
      <alignment horizontal="right" vertical="center"/>
    </xf>
    <xf numFmtId="2" fontId="5" fillId="0" borderId="37" xfId="0" applyNumberFormat="1" applyFont="1" applyFill="1" applyBorder="1" applyAlignment="1"/>
    <xf numFmtId="9" fontId="8" fillId="0" borderId="1" xfId="0" applyNumberFormat="1" applyFont="1" applyFill="1" applyBorder="1" applyAlignment="1">
      <alignment horizontal="center" vertical="center"/>
    </xf>
    <xf numFmtId="175" fontId="60" fillId="0" borderId="37" xfId="0" applyNumberFormat="1" applyFont="1" applyBorder="1"/>
    <xf numFmtId="0" fontId="9" fillId="0" borderId="1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4" fillId="0" borderId="0" xfId="1" applyFont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9" fontId="10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_ООО Тепловодоканал 2011" xfId="3"/>
    <cellStyle name="Процентный" xfId="4" builtinId="5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130"/>
  <sheetViews>
    <sheetView tabSelected="1" zoomScale="80" zoomScaleNormal="80" workbookViewId="0">
      <pane xSplit="7" ySplit="2" topLeftCell="H3" activePane="bottomRight" state="frozen"/>
      <selection pane="topRight" activeCell="H1" sqref="H1"/>
      <selection pane="bottomLeft" activeCell="A6" sqref="A6"/>
      <selection pane="bottomRight" activeCell="U18" sqref="U18"/>
    </sheetView>
  </sheetViews>
  <sheetFormatPr defaultRowHeight="15"/>
  <cols>
    <col min="1" max="1" width="6.42578125" style="10" customWidth="1"/>
    <col min="2" max="2" width="37.5703125" style="8" customWidth="1"/>
    <col min="3" max="3" width="9.28515625" style="10" customWidth="1"/>
    <col min="4" max="5" width="11.140625" style="10" hidden="1" customWidth="1"/>
    <col min="6" max="6" width="19.28515625" style="8" hidden="1" customWidth="1"/>
    <col min="7" max="7" width="17.28515625" style="9" hidden="1" customWidth="1"/>
    <col min="8" max="8" width="9.85546875" style="9" customWidth="1"/>
    <col min="9" max="9" width="9.42578125" style="8" customWidth="1"/>
    <col min="10" max="10" width="9.28515625" style="8" customWidth="1"/>
    <col min="11" max="11" width="15.140625" style="8" hidden="1" customWidth="1"/>
    <col min="12" max="12" width="9.7109375" style="8" customWidth="1"/>
    <col min="13" max="13" width="9.42578125" style="9" customWidth="1"/>
    <col min="14" max="14" width="10.28515625" style="9" customWidth="1"/>
    <col min="15" max="15" width="9.28515625" style="9" customWidth="1"/>
    <col min="16" max="16" width="6.5703125" style="9" customWidth="1"/>
    <col min="17" max="19" width="9.5703125" style="9" customWidth="1"/>
    <col min="20" max="20" width="10.85546875" style="8" bestFit="1" customWidth="1"/>
    <col min="21" max="21" width="8.140625" style="8" bestFit="1" customWidth="1"/>
    <col min="22" max="22" width="10.85546875" style="8" bestFit="1" customWidth="1"/>
    <col min="23" max="23" width="12.28515625" style="9" bestFit="1" customWidth="1"/>
    <col min="24" max="24" width="10.85546875" style="8" customWidth="1"/>
    <col min="25" max="25" width="8.7109375" style="8" bestFit="1" customWidth="1"/>
    <col min="26" max="26" width="10.85546875" style="8" customWidth="1"/>
    <col min="27" max="27" width="11.28515625" style="8" customWidth="1"/>
    <col min="28" max="28" width="9.85546875" style="8" hidden="1" customWidth="1"/>
    <col min="29" max="29" width="8.7109375" style="8" hidden="1" customWidth="1"/>
    <col min="30" max="30" width="7.42578125" style="8" hidden="1" customWidth="1"/>
    <col min="31" max="31" width="10.7109375" style="8" hidden="1" customWidth="1"/>
    <col min="32" max="32" width="9.140625" hidden="1" customWidth="1"/>
    <col min="33" max="33" width="0" hidden="1" customWidth="1"/>
  </cols>
  <sheetData>
    <row r="1" spans="1:32" ht="15" customHeight="1" thickBot="1">
      <c r="A1" s="816" t="s">
        <v>3</v>
      </c>
      <c r="B1" s="816" t="s">
        <v>329</v>
      </c>
      <c r="C1" s="806" t="s">
        <v>0</v>
      </c>
      <c r="D1" s="279" t="s">
        <v>162</v>
      </c>
      <c r="E1" s="279" t="s">
        <v>163</v>
      </c>
      <c r="F1" s="807" t="s">
        <v>83</v>
      </c>
      <c r="G1" s="807"/>
      <c r="H1" s="804" t="s">
        <v>84</v>
      </c>
      <c r="I1" s="805"/>
      <c r="J1" s="805"/>
      <c r="K1" s="805"/>
      <c r="L1" s="586"/>
      <c r="N1" s="808" t="s">
        <v>337</v>
      </c>
      <c r="O1" s="809"/>
      <c r="P1" s="809"/>
      <c r="Q1" s="810"/>
      <c r="R1" s="608"/>
      <c r="S1" s="802" t="s">
        <v>331</v>
      </c>
      <c r="T1" s="803"/>
      <c r="U1" s="803"/>
      <c r="V1" s="817"/>
      <c r="W1" s="811" t="s">
        <v>332</v>
      </c>
      <c r="X1" s="812"/>
      <c r="Y1" s="812"/>
      <c r="Z1" s="813"/>
      <c r="AA1" s="693"/>
      <c r="AB1" s="802" t="s">
        <v>165</v>
      </c>
      <c r="AC1" s="803"/>
      <c r="AD1" s="803"/>
      <c r="AE1" s="803"/>
    </row>
    <row r="2" spans="1:32" ht="51.75" thickBot="1">
      <c r="A2" s="816"/>
      <c r="B2" s="806"/>
      <c r="C2" s="806"/>
      <c r="D2" s="31" t="s">
        <v>2</v>
      </c>
      <c r="E2" s="31" t="s">
        <v>181</v>
      </c>
      <c r="F2" s="338" t="s">
        <v>172</v>
      </c>
      <c r="G2" s="144" t="s">
        <v>181</v>
      </c>
      <c r="H2" s="13" t="s">
        <v>1</v>
      </c>
      <c r="I2" s="13" t="s">
        <v>160</v>
      </c>
      <c r="J2" s="13" t="s">
        <v>161</v>
      </c>
      <c r="K2" s="420" t="s">
        <v>194</v>
      </c>
      <c r="L2" s="643" t="s">
        <v>325</v>
      </c>
      <c r="M2" s="449" t="s">
        <v>92</v>
      </c>
      <c r="N2" s="576" t="s">
        <v>1</v>
      </c>
      <c r="O2" s="13" t="s">
        <v>318</v>
      </c>
      <c r="P2" s="285" t="s">
        <v>164</v>
      </c>
      <c r="Q2" s="392" t="s">
        <v>319</v>
      </c>
      <c r="R2" s="644" t="s">
        <v>324</v>
      </c>
      <c r="S2" s="369" t="s">
        <v>91</v>
      </c>
      <c r="T2" s="13" t="s">
        <v>320</v>
      </c>
      <c r="U2" s="285" t="s">
        <v>168</v>
      </c>
      <c r="V2" s="649" t="s">
        <v>321</v>
      </c>
      <c r="W2" s="694" t="s">
        <v>91</v>
      </c>
      <c r="X2" s="694" t="s">
        <v>320</v>
      </c>
      <c r="Y2" s="695" t="s">
        <v>168</v>
      </c>
      <c r="Z2" s="694" t="s">
        <v>321</v>
      </c>
      <c r="AA2" s="694" t="s">
        <v>330</v>
      </c>
      <c r="AB2" s="369" t="s">
        <v>91</v>
      </c>
      <c r="AC2" s="13" t="s">
        <v>322</v>
      </c>
      <c r="AD2" s="285" t="s">
        <v>169</v>
      </c>
      <c r="AE2" s="13" t="s">
        <v>323</v>
      </c>
    </row>
    <row r="3" spans="1:32">
      <c r="A3" s="338"/>
      <c r="B3" s="266" t="s">
        <v>47</v>
      </c>
      <c r="C3" s="339" t="s">
        <v>12</v>
      </c>
      <c r="D3" s="82"/>
      <c r="E3" s="90"/>
      <c r="F3" s="438"/>
      <c r="G3" s="350"/>
      <c r="H3" s="90">
        <v>554.66999999999996</v>
      </c>
      <c r="I3" s="90">
        <v>277.33</v>
      </c>
      <c r="J3" s="90">
        <v>277.33</v>
      </c>
      <c r="K3" s="131"/>
      <c r="L3" s="637">
        <v>285.3</v>
      </c>
      <c r="M3" s="587">
        <f>H3</f>
        <v>554.66999999999996</v>
      </c>
      <c r="N3" s="74">
        <f>H3</f>
        <v>554.66999999999996</v>
      </c>
      <c r="O3" s="133">
        <f>N3/2</f>
        <v>277.33499999999998</v>
      </c>
      <c r="P3" s="286"/>
      <c r="Q3" s="393">
        <f>N3-O3</f>
        <v>277.33499999999998</v>
      </c>
      <c r="R3" s="609"/>
      <c r="S3" s="370">
        <f>T3+V3</f>
        <v>554.66999999999996</v>
      </c>
      <c r="T3" s="281">
        <f>Q2:Q3</f>
        <v>277.33499999999998</v>
      </c>
      <c r="U3" s="312"/>
      <c r="V3" s="281">
        <f>T3</f>
        <v>277.33499999999998</v>
      </c>
      <c r="W3" s="696">
        <v>554.66999999999996</v>
      </c>
      <c r="X3" s="281">
        <v>277.33499999999998</v>
      </c>
      <c r="Y3" s="312"/>
      <c r="Z3" s="393">
        <v>277.33499999999998</v>
      </c>
      <c r="AA3" s="670"/>
      <c r="AB3" s="133">
        <f>AC3+AE3</f>
        <v>554.66999999999996</v>
      </c>
      <c r="AC3" s="132">
        <f>V3</f>
        <v>277.33499999999998</v>
      </c>
      <c r="AD3" s="312"/>
      <c r="AE3" s="132">
        <f>AC3</f>
        <v>277.33499999999998</v>
      </c>
    </row>
    <row r="4" spans="1:32">
      <c r="A4" s="338"/>
      <c r="B4" s="267" t="s">
        <v>46</v>
      </c>
      <c r="C4" s="339" t="s">
        <v>12</v>
      </c>
      <c r="D4" s="82"/>
      <c r="E4" s="90"/>
      <c r="F4" s="438"/>
      <c r="G4" s="350"/>
      <c r="H4" s="16">
        <v>554.66999999999996</v>
      </c>
      <c r="I4" s="16">
        <v>277.33</v>
      </c>
      <c r="J4" s="16">
        <v>277.33</v>
      </c>
      <c r="K4" s="15"/>
      <c r="L4" s="638"/>
      <c r="M4" s="588">
        <f>H4</f>
        <v>554.66999999999996</v>
      </c>
      <c r="N4" s="75">
        <f>H4</f>
        <v>554.66999999999996</v>
      </c>
      <c r="O4" s="66">
        <f>N4/2</f>
        <v>277.33499999999998</v>
      </c>
      <c r="P4" s="287"/>
      <c r="Q4" s="394">
        <f>N4-O4</f>
        <v>277.33499999999998</v>
      </c>
      <c r="R4" s="610"/>
      <c r="S4" s="371">
        <f>T4+V4</f>
        <v>554.66999999999996</v>
      </c>
      <c r="T4" s="282">
        <f>Q3:Q4</f>
        <v>277.33499999999998</v>
      </c>
      <c r="U4" s="317"/>
      <c r="V4" s="282">
        <f>T4</f>
        <v>277.33499999999998</v>
      </c>
      <c r="W4" s="658">
        <v>554.66999999999996</v>
      </c>
      <c r="X4" s="282">
        <v>277.33499999999998</v>
      </c>
      <c r="Y4" s="317"/>
      <c r="Z4" s="394">
        <v>277.33499999999998</v>
      </c>
      <c r="AA4" s="671"/>
      <c r="AB4" s="66">
        <f>AC4+AE4</f>
        <v>554.66999999999996</v>
      </c>
      <c r="AC4" s="22">
        <f>V4</f>
        <v>277.33499999999998</v>
      </c>
      <c r="AD4" s="317"/>
      <c r="AE4" s="22">
        <f>AC4</f>
        <v>277.33499999999998</v>
      </c>
    </row>
    <row r="5" spans="1:32">
      <c r="A5" s="338"/>
      <c r="B5" s="267" t="s">
        <v>93</v>
      </c>
      <c r="C5" s="339" t="s">
        <v>12</v>
      </c>
      <c r="D5" s="14"/>
      <c r="E5" s="16"/>
      <c r="F5" s="429"/>
      <c r="G5" s="14"/>
      <c r="H5" s="16">
        <v>50.67</v>
      </c>
      <c r="I5" s="16">
        <v>25.33</v>
      </c>
      <c r="J5" s="16">
        <v>25.33</v>
      </c>
      <c r="K5" s="15"/>
      <c r="L5" s="638"/>
      <c r="M5" s="588">
        <f>H5</f>
        <v>50.67</v>
      </c>
      <c r="N5" s="75">
        <f>H5</f>
        <v>50.67</v>
      </c>
      <c r="O5" s="66">
        <f>N5/2</f>
        <v>25.335000000000001</v>
      </c>
      <c r="P5" s="287"/>
      <c r="Q5" s="394">
        <f>O5</f>
        <v>25.335000000000001</v>
      </c>
      <c r="R5" s="610"/>
      <c r="S5" s="371">
        <f>T5+V5</f>
        <v>50.67</v>
      </c>
      <c r="T5" s="282">
        <f>Q5</f>
        <v>25.335000000000001</v>
      </c>
      <c r="U5" s="287"/>
      <c r="V5" s="650">
        <f>T5</f>
        <v>25.335000000000001</v>
      </c>
      <c r="W5" s="658">
        <v>50.67</v>
      </c>
      <c r="X5" s="282">
        <v>25.335000000000001</v>
      </c>
      <c r="Y5" s="287"/>
      <c r="Z5" s="659">
        <v>25.335000000000001</v>
      </c>
      <c r="AA5" s="672"/>
      <c r="AB5" s="371">
        <f>AC5+AE5</f>
        <v>50.67</v>
      </c>
      <c r="AC5" s="22">
        <f>V5</f>
        <v>25.335000000000001</v>
      </c>
      <c r="AD5" s="317"/>
      <c r="AE5" s="22">
        <f>AC5</f>
        <v>25.335000000000001</v>
      </c>
    </row>
    <row r="6" spans="1:32">
      <c r="A6" s="338"/>
      <c r="B6" s="267" t="s">
        <v>48</v>
      </c>
      <c r="C6" s="339" t="s">
        <v>12</v>
      </c>
      <c r="D6" s="14"/>
      <c r="E6" s="16"/>
      <c r="F6" s="429"/>
      <c r="G6" s="14"/>
      <c r="H6" s="16">
        <v>504</v>
      </c>
      <c r="I6" s="16">
        <v>252</v>
      </c>
      <c r="J6" s="16">
        <v>252</v>
      </c>
      <c r="K6" s="15"/>
      <c r="L6" s="638">
        <f>L9/(1-0.106)</f>
        <v>255.32102908277406</v>
      </c>
      <c r="M6" s="588">
        <f>H6</f>
        <v>504</v>
      </c>
      <c r="N6" s="75">
        <f>H6</f>
        <v>504</v>
      </c>
      <c r="O6" s="66">
        <f t="shared" ref="O6:O15" si="0">N6/2</f>
        <v>252</v>
      </c>
      <c r="P6" s="287"/>
      <c r="Q6" s="394">
        <f t="shared" ref="Q6:Q11" si="1">N6-O6</f>
        <v>252</v>
      </c>
      <c r="R6" s="610"/>
      <c r="S6" s="371">
        <f>T6+V6</f>
        <v>504</v>
      </c>
      <c r="T6" s="282">
        <f>Q6</f>
        <v>252</v>
      </c>
      <c r="U6" s="287"/>
      <c r="V6" s="650">
        <f>T6</f>
        <v>252</v>
      </c>
      <c r="W6" s="658">
        <v>504</v>
      </c>
      <c r="X6" s="282">
        <v>252</v>
      </c>
      <c r="Y6" s="287"/>
      <c r="Z6" s="659">
        <v>252</v>
      </c>
      <c r="AA6" s="672"/>
      <c r="AB6" s="371">
        <f>AC6+AE6</f>
        <v>504</v>
      </c>
      <c r="AC6" s="22">
        <f>V6</f>
        <v>252</v>
      </c>
      <c r="AD6" s="317"/>
      <c r="AE6" s="22">
        <f>AC6</f>
        <v>252</v>
      </c>
    </row>
    <row r="7" spans="1:32">
      <c r="A7" s="338"/>
      <c r="B7" s="267" t="s">
        <v>22</v>
      </c>
      <c r="C7" s="339" t="s">
        <v>12</v>
      </c>
      <c r="D7" s="82"/>
      <c r="E7" s="16"/>
      <c r="F7" s="429"/>
      <c r="G7" s="21"/>
      <c r="H7" s="548">
        <v>53.33</v>
      </c>
      <c r="I7" s="16">
        <v>26.67</v>
      </c>
      <c r="J7" s="16">
        <v>26.67</v>
      </c>
      <c r="K7" s="65"/>
      <c r="L7" s="621">
        <f>L6-L9</f>
        <v>27.064029082774056</v>
      </c>
      <c r="M7" s="589">
        <f>H7</f>
        <v>53.33</v>
      </c>
      <c r="N7" s="75">
        <f>H7</f>
        <v>53.33</v>
      </c>
      <c r="O7" s="66">
        <f t="shared" si="0"/>
        <v>26.664999999999999</v>
      </c>
      <c r="P7" s="287"/>
      <c r="Q7" s="394">
        <f>O7</f>
        <v>26.664999999999999</v>
      </c>
      <c r="R7" s="610"/>
      <c r="S7" s="372">
        <f>T7+V7</f>
        <v>53.33</v>
      </c>
      <c r="T7" s="282">
        <f>Q7</f>
        <v>26.664999999999999</v>
      </c>
      <c r="U7" s="287"/>
      <c r="V7" s="65">
        <f>T7</f>
        <v>26.664999999999999</v>
      </c>
      <c r="W7" s="75">
        <v>53.33</v>
      </c>
      <c r="X7" s="282">
        <v>26.664999999999999</v>
      </c>
      <c r="Y7" s="287"/>
      <c r="Z7" s="405">
        <v>26.664999999999999</v>
      </c>
      <c r="AA7" s="673"/>
      <c r="AB7" s="372">
        <f>AC7+AE7</f>
        <v>53.33</v>
      </c>
      <c r="AC7" s="20">
        <f>V7</f>
        <v>26.664999999999999</v>
      </c>
      <c r="AD7" s="298"/>
      <c r="AE7" s="20">
        <f>AC7</f>
        <v>26.664999999999999</v>
      </c>
    </row>
    <row r="8" spans="1:32">
      <c r="A8" s="338"/>
      <c r="B8" s="17" t="s">
        <v>49</v>
      </c>
      <c r="C8" s="339" t="s">
        <v>7</v>
      </c>
      <c r="D8" s="14"/>
      <c r="E8" s="41"/>
      <c r="F8" s="483"/>
      <c r="G8" s="42"/>
      <c r="H8" s="41">
        <f>H7/H6</f>
        <v>0.10581349206349205</v>
      </c>
      <c r="I8" s="41">
        <f>I7/I6</f>
        <v>0.10583333333333333</v>
      </c>
      <c r="J8" s="41">
        <f>J7/J6</f>
        <v>0.10583333333333333</v>
      </c>
      <c r="K8" s="284"/>
      <c r="L8" s="617">
        <f>L7/L6</f>
        <v>0.10600000000000002</v>
      </c>
      <c r="M8" s="590">
        <f>M7/M6</f>
        <v>0.10581349206349205</v>
      </c>
      <c r="N8" s="577">
        <f>N7/N6</f>
        <v>0.10581349206349205</v>
      </c>
      <c r="O8" s="486">
        <f>O7/O6</f>
        <v>0.10581349206349205</v>
      </c>
      <c r="P8" s="288"/>
      <c r="Q8" s="395">
        <f>Q7/Q6</f>
        <v>0.10581349206349205</v>
      </c>
      <c r="R8" s="611"/>
      <c r="S8" s="373">
        <f>S7/S6</f>
        <v>0.10581349206349205</v>
      </c>
      <c r="T8" s="336">
        <f>T7/T6</f>
        <v>0.10581349206349205</v>
      </c>
      <c r="U8" s="313"/>
      <c r="V8" s="284">
        <f>V7/V6</f>
        <v>0.10581349206349205</v>
      </c>
      <c r="W8" s="577">
        <v>0.10581349206349205</v>
      </c>
      <c r="X8" s="336">
        <v>0.10581349206349205</v>
      </c>
      <c r="Y8" s="313"/>
      <c r="Z8" s="401">
        <v>0.10581349206349205</v>
      </c>
      <c r="AA8" s="674"/>
      <c r="AB8" s="373">
        <f>AB7/AB6</f>
        <v>0.10581349206349205</v>
      </c>
      <c r="AC8" s="27">
        <f>AC7/AC6</f>
        <v>0.10581349206349205</v>
      </c>
      <c r="AD8" s="294"/>
      <c r="AE8" s="27">
        <f>AE7/AE6</f>
        <v>0.10581349206349205</v>
      </c>
    </row>
    <row r="9" spans="1:32" s="3" customFormat="1">
      <c r="A9" s="268"/>
      <c r="B9" s="134" t="s">
        <v>94</v>
      </c>
      <c r="C9" s="343" t="s">
        <v>12</v>
      </c>
      <c r="D9" s="105"/>
      <c r="E9" s="135"/>
      <c r="F9" s="435"/>
      <c r="G9" s="105"/>
      <c r="H9" s="135">
        <v>450.67</v>
      </c>
      <c r="I9" s="135">
        <v>225.33</v>
      </c>
      <c r="J9" s="135">
        <v>225.33</v>
      </c>
      <c r="K9" s="106"/>
      <c r="L9" s="632">
        <v>228.25700000000001</v>
      </c>
      <c r="M9" s="591">
        <f>H9</f>
        <v>450.67</v>
      </c>
      <c r="N9" s="78">
        <f>H9</f>
        <v>450.67</v>
      </c>
      <c r="O9" s="262">
        <f t="shared" si="0"/>
        <v>225.33500000000001</v>
      </c>
      <c r="P9" s="289"/>
      <c r="Q9" s="396">
        <f t="shared" si="1"/>
        <v>225.33500000000001</v>
      </c>
      <c r="R9" s="612"/>
      <c r="S9" s="374">
        <f t="shared" ref="S9:S14" si="2">T9+V9</f>
        <v>450.67</v>
      </c>
      <c r="T9" s="283">
        <f>Q9</f>
        <v>225.33500000000001</v>
      </c>
      <c r="U9" s="289"/>
      <c r="V9" s="106">
        <f t="shared" ref="V9:V14" si="3">T9</f>
        <v>225.33500000000001</v>
      </c>
      <c r="W9" s="78">
        <v>450.67</v>
      </c>
      <c r="X9" s="283">
        <v>225.33500000000001</v>
      </c>
      <c r="Y9" s="289"/>
      <c r="Z9" s="413">
        <v>225.33500000000001</v>
      </c>
      <c r="AA9" s="675">
        <f>W9-S9</f>
        <v>0</v>
      </c>
      <c r="AB9" s="374">
        <f t="shared" ref="AB9:AB14" si="4">AC9+AE9</f>
        <v>450.67</v>
      </c>
      <c r="AC9" s="105">
        <f>V9</f>
        <v>225.33500000000001</v>
      </c>
      <c r="AD9" s="306"/>
      <c r="AE9" s="105">
        <f>AC9</f>
        <v>225.33500000000001</v>
      </c>
      <c r="AF9" s="337">
        <f>Q9+T9+V9+AC9+AE9</f>
        <v>1126.675</v>
      </c>
    </row>
    <row r="10" spans="1:32" s="6" customFormat="1" ht="16.5" customHeight="1">
      <c r="A10" s="338"/>
      <c r="B10" s="136" t="s">
        <v>143</v>
      </c>
      <c r="C10" s="339" t="s">
        <v>12</v>
      </c>
      <c r="D10" s="14"/>
      <c r="E10" s="16"/>
      <c r="F10" s="429"/>
      <c r="G10" s="20"/>
      <c r="H10" s="16"/>
      <c r="I10" s="16"/>
      <c r="J10" s="16"/>
      <c r="K10" s="15"/>
      <c r="L10" s="638"/>
      <c r="M10" s="588"/>
      <c r="N10" s="75"/>
      <c r="O10" s="133"/>
      <c r="P10" s="287"/>
      <c r="Q10" s="394"/>
      <c r="R10" s="610"/>
      <c r="S10" s="371"/>
      <c r="T10" s="282"/>
      <c r="U10" s="287"/>
      <c r="V10" s="650"/>
      <c r="W10" s="658"/>
      <c r="X10" s="282"/>
      <c r="Y10" s="287"/>
      <c r="Z10" s="659"/>
      <c r="AA10" s="672"/>
      <c r="AB10" s="371"/>
      <c r="AC10" s="22"/>
      <c r="AD10" s="317"/>
      <c r="AE10" s="22"/>
    </row>
    <row r="11" spans="1:32" s="6" customFormat="1" ht="16.5" customHeight="1">
      <c r="A11" s="338"/>
      <c r="B11" s="136" t="s">
        <v>142</v>
      </c>
      <c r="C11" s="339" t="s">
        <v>12</v>
      </c>
      <c r="D11" s="14"/>
      <c r="E11" s="16"/>
      <c r="F11" s="429"/>
      <c r="G11" s="20"/>
      <c r="H11" s="16">
        <v>388</v>
      </c>
      <c r="I11" s="16">
        <v>194</v>
      </c>
      <c r="J11" s="16">
        <v>194</v>
      </c>
      <c r="K11" s="15"/>
      <c r="L11" s="638">
        <v>179.803</v>
      </c>
      <c r="M11" s="588">
        <f>H11</f>
        <v>388</v>
      </c>
      <c r="N11" s="75">
        <f>H11</f>
        <v>388</v>
      </c>
      <c r="O11" s="66">
        <f t="shared" si="0"/>
        <v>194</v>
      </c>
      <c r="P11" s="287"/>
      <c r="Q11" s="394">
        <f t="shared" si="1"/>
        <v>194</v>
      </c>
      <c r="R11" s="610"/>
      <c r="S11" s="371">
        <f t="shared" si="2"/>
        <v>388</v>
      </c>
      <c r="T11" s="282">
        <f>Q11</f>
        <v>194</v>
      </c>
      <c r="U11" s="287"/>
      <c r="V11" s="650">
        <f t="shared" si="3"/>
        <v>194</v>
      </c>
      <c r="W11" s="658">
        <v>388</v>
      </c>
      <c r="X11" s="282">
        <v>194</v>
      </c>
      <c r="Y11" s="287"/>
      <c r="Z11" s="659">
        <v>194</v>
      </c>
      <c r="AA11" s="672"/>
      <c r="AB11" s="371">
        <f t="shared" si="4"/>
        <v>388</v>
      </c>
      <c r="AC11" s="22">
        <f>V11</f>
        <v>194</v>
      </c>
      <c r="AD11" s="317"/>
      <c r="AE11" s="22">
        <f>AC11</f>
        <v>194</v>
      </c>
    </row>
    <row r="12" spans="1:32" s="6" customFormat="1" ht="16.5" hidden="1" customHeight="1">
      <c r="A12" s="338"/>
      <c r="B12" s="163" t="s">
        <v>50</v>
      </c>
      <c r="C12" s="278" t="s">
        <v>12</v>
      </c>
      <c r="D12" s="14"/>
      <c r="E12" s="278"/>
      <c r="F12" s="429"/>
      <c r="G12" s="77"/>
      <c r="H12" s="164"/>
      <c r="I12" s="164"/>
      <c r="J12" s="164"/>
      <c r="K12" s="345"/>
      <c r="L12" s="639"/>
      <c r="M12" s="592"/>
      <c r="N12" s="76"/>
      <c r="O12" s="66">
        <f t="shared" si="0"/>
        <v>0</v>
      </c>
      <c r="P12" s="290"/>
      <c r="Q12" s="397"/>
      <c r="R12" s="613"/>
      <c r="S12" s="375">
        <f t="shared" si="2"/>
        <v>24.3</v>
      </c>
      <c r="T12" s="264">
        <v>12.15</v>
      </c>
      <c r="U12" s="290"/>
      <c r="V12" s="651">
        <f t="shared" si="3"/>
        <v>12.15</v>
      </c>
      <c r="W12" s="660">
        <v>24.3</v>
      </c>
      <c r="X12" s="264">
        <v>12.15</v>
      </c>
      <c r="Y12" s="290"/>
      <c r="Z12" s="661">
        <v>12.15</v>
      </c>
      <c r="AA12" s="676"/>
      <c r="AB12" s="375">
        <f t="shared" si="4"/>
        <v>12.35</v>
      </c>
      <c r="AC12" s="35">
        <v>12.15</v>
      </c>
      <c r="AD12" s="318"/>
      <c r="AE12" s="35">
        <v>0.2</v>
      </c>
    </row>
    <row r="13" spans="1:32" s="6" customFormat="1" ht="16.5" customHeight="1">
      <c r="A13" s="338"/>
      <c r="B13" s="136" t="s">
        <v>141</v>
      </c>
      <c r="C13" s="339" t="s">
        <v>12</v>
      </c>
      <c r="D13" s="16"/>
      <c r="E13" s="16"/>
      <c r="F13" s="429"/>
      <c r="G13" s="20"/>
      <c r="H13" s="16">
        <v>25.33</v>
      </c>
      <c r="I13" s="16">
        <v>12.67</v>
      </c>
      <c r="J13" s="16">
        <v>12.67</v>
      </c>
      <c r="K13" s="15"/>
      <c r="L13" s="638">
        <v>16.596</v>
      </c>
      <c r="M13" s="588">
        <f>H13</f>
        <v>25.33</v>
      </c>
      <c r="N13" s="75">
        <f>H13</f>
        <v>25.33</v>
      </c>
      <c r="O13" s="66">
        <f t="shared" si="0"/>
        <v>12.664999999999999</v>
      </c>
      <c r="P13" s="287"/>
      <c r="Q13" s="394">
        <f>N13-O13</f>
        <v>12.664999999999999</v>
      </c>
      <c r="R13" s="610"/>
      <c r="S13" s="371">
        <f t="shared" si="2"/>
        <v>25.33</v>
      </c>
      <c r="T13" s="263">
        <f>Q13</f>
        <v>12.664999999999999</v>
      </c>
      <c r="U13" s="287"/>
      <c r="V13" s="650">
        <f t="shared" si="3"/>
        <v>12.664999999999999</v>
      </c>
      <c r="W13" s="658">
        <v>25.33</v>
      </c>
      <c r="X13" s="263">
        <v>12.664999999999999</v>
      </c>
      <c r="Y13" s="287"/>
      <c r="Z13" s="659">
        <v>12.664999999999999</v>
      </c>
      <c r="AA13" s="672"/>
      <c r="AB13" s="371">
        <f t="shared" si="4"/>
        <v>25.33</v>
      </c>
      <c r="AC13" s="22">
        <f>V13</f>
        <v>12.664999999999999</v>
      </c>
      <c r="AD13" s="317"/>
      <c r="AE13" s="22">
        <f>AC13</f>
        <v>12.664999999999999</v>
      </c>
    </row>
    <row r="14" spans="1:32" s="6" customFormat="1" ht="16.5" hidden="1" customHeight="1">
      <c r="A14" s="338"/>
      <c r="B14" s="163" t="s">
        <v>50</v>
      </c>
      <c r="C14" s="278" t="s">
        <v>12</v>
      </c>
      <c r="D14" s="278"/>
      <c r="E14" s="278"/>
      <c r="F14" s="429"/>
      <c r="G14" s="77"/>
      <c r="H14" s="164"/>
      <c r="I14" s="164"/>
      <c r="J14" s="164"/>
      <c r="K14" s="345"/>
      <c r="L14" s="639"/>
      <c r="M14" s="592"/>
      <c r="N14" s="76"/>
      <c r="O14" s="66">
        <f t="shared" si="0"/>
        <v>0</v>
      </c>
      <c r="P14" s="290"/>
      <c r="Q14" s="397"/>
      <c r="R14" s="613"/>
      <c r="S14" s="375">
        <f t="shared" si="2"/>
        <v>3.5</v>
      </c>
      <c r="T14" s="264">
        <v>1.75</v>
      </c>
      <c r="U14" s="290"/>
      <c r="V14" s="651">
        <f t="shared" si="3"/>
        <v>1.75</v>
      </c>
      <c r="W14" s="660">
        <v>3.5</v>
      </c>
      <c r="X14" s="264">
        <v>1.75</v>
      </c>
      <c r="Y14" s="290"/>
      <c r="Z14" s="661">
        <v>1.75</v>
      </c>
      <c r="AA14" s="676"/>
      <c r="AB14" s="375">
        <f t="shared" si="4"/>
        <v>7.55</v>
      </c>
      <c r="AC14" s="35">
        <v>1.75</v>
      </c>
      <c r="AD14" s="318"/>
      <c r="AE14" s="35">
        <v>5.8</v>
      </c>
    </row>
    <row r="15" spans="1:32" s="6" customFormat="1" ht="16.5" customHeight="1">
      <c r="A15" s="338"/>
      <c r="B15" s="136" t="s">
        <v>174</v>
      </c>
      <c r="C15" s="339" t="s">
        <v>12</v>
      </c>
      <c r="D15" s="339"/>
      <c r="E15" s="339"/>
      <c r="F15" s="429"/>
      <c r="G15" s="20"/>
      <c r="H15" s="16">
        <v>37.340000000000003</v>
      </c>
      <c r="I15" s="16">
        <f>H15/2</f>
        <v>18.670000000000002</v>
      </c>
      <c r="J15" s="16">
        <f>I15</f>
        <v>18.670000000000002</v>
      </c>
      <c r="K15" s="15"/>
      <c r="L15" s="638"/>
      <c r="M15" s="588">
        <f>H15</f>
        <v>37.340000000000003</v>
      </c>
      <c r="N15" s="75">
        <f>H15</f>
        <v>37.340000000000003</v>
      </c>
      <c r="O15" s="66">
        <f t="shared" si="0"/>
        <v>18.670000000000002</v>
      </c>
      <c r="P15" s="287"/>
      <c r="Q15" s="394">
        <f>N15-O15</f>
        <v>18.670000000000002</v>
      </c>
      <c r="R15" s="610"/>
      <c r="S15" s="372">
        <f>N15</f>
        <v>37.340000000000003</v>
      </c>
      <c r="T15" s="263">
        <f>S15/2</f>
        <v>18.670000000000002</v>
      </c>
      <c r="U15" s="287"/>
      <c r="V15" s="650">
        <f>S15-T15</f>
        <v>18.670000000000002</v>
      </c>
      <c r="W15" s="75">
        <v>37.340000000000003</v>
      </c>
      <c r="X15" s="263">
        <v>18.670000000000002</v>
      </c>
      <c r="Y15" s="287"/>
      <c r="Z15" s="659">
        <v>18.670000000000002</v>
      </c>
      <c r="AA15" s="672"/>
      <c r="AB15" s="372">
        <f>S15</f>
        <v>37.340000000000003</v>
      </c>
      <c r="AC15" s="22">
        <f>AB15/2</f>
        <v>18.670000000000002</v>
      </c>
      <c r="AD15" s="317"/>
      <c r="AE15" s="22">
        <f>AB15-AC15</f>
        <v>18.670000000000002</v>
      </c>
    </row>
    <row r="16" spans="1:32" hidden="1">
      <c r="A16" s="338"/>
      <c r="B16" s="136" t="s">
        <v>50</v>
      </c>
      <c r="C16" s="339" t="s">
        <v>12</v>
      </c>
      <c r="D16" s="339"/>
      <c r="E16" s="339"/>
      <c r="F16" s="429"/>
      <c r="G16" s="23"/>
      <c r="H16" s="16"/>
      <c r="I16" s="16"/>
      <c r="J16" s="16"/>
      <c r="K16" s="345"/>
      <c r="L16" s="639"/>
      <c r="M16" s="592"/>
      <c r="N16" s="71"/>
      <c r="O16" s="35"/>
      <c r="P16" s="287"/>
      <c r="Q16" s="394"/>
      <c r="R16" s="610"/>
      <c r="S16" s="375"/>
      <c r="T16" s="265"/>
      <c r="U16" s="314"/>
      <c r="V16" s="651"/>
      <c r="W16" s="660"/>
      <c r="X16" s="265"/>
      <c r="Y16" s="314"/>
      <c r="Z16" s="661"/>
      <c r="AA16" s="676"/>
      <c r="AB16" s="375"/>
      <c r="AC16" s="35"/>
      <c r="AD16" s="318"/>
      <c r="AE16" s="35"/>
    </row>
    <row r="17" spans="1:31" s="2" customFormat="1">
      <c r="A17" s="815" t="s">
        <v>26</v>
      </c>
      <c r="B17" s="815"/>
      <c r="C17" s="18" t="s">
        <v>4</v>
      </c>
      <c r="D17" s="280"/>
      <c r="E17" s="280"/>
      <c r="F17" s="430"/>
      <c r="G17" s="19"/>
      <c r="H17" s="19">
        <f>H19+H60+H72</f>
        <v>12777.669999999998</v>
      </c>
      <c r="I17" s="19">
        <f>I19+I60+I72</f>
        <v>6131.3180000000002</v>
      </c>
      <c r="J17" s="19">
        <f>J19+J60+J72</f>
        <v>6646.348</v>
      </c>
      <c r="K17" s="62"/>
      <c r="L17" s="614"/>
      <c r="M17" s="593">
        <f>M19+M60+M72</f>
        <v>14102.470006880001</v>
      </c>
      <c r="N17" s="70">
        <f>O17+Q17</f>
        <v>12888.444395091268</v>
      </c>
      <c r="O17" s="19">
        <f>O19+O60+O72</f>
        <v>6295.1131093196645</v>
      </c>
      <c r="P17" s="291"/>
      <c r="Q17" s="398">
        <f>Q19+Q60+Q72</f>
        <v>6593.3312857716037</v>
      </c>
      <c r="R17" s="614"/>
      <c r="S17" s="361">
        <f>T17+V17</f>
        <v>13577.627010661798</v>
      </c>
      <c r="T17" s="19">
        <f>T19+T60+T72</f>
        <v>6598.2752042716038</v>
      </c>
      <c r="U17" s="291"/>
      <c r="V17" s="62">
        <f>V19+V60+V72</f>
        <v>6979.3518063901938</v>
      </c>
      <c r="W17" s="70"/>
      <c r="X17" s="19"/>
      <c r="Y17" s="291"/>
      <c r="Z17" s="398"/>
      <c r="AA17" s="677"/>
      <c r="AB17" s="361" t="e">
        <f>AC17+AE17</f>
        <v>#REF!</v>
      </c>
      <c r="AC17" s="19" t="e">
        <f>AC19+AC60+AC72</f>
        <v>#REF!</v>
      </c>
      <c r="AD17" s="291"/>
      <c r="AE17" s="19" t="e">
        <f>AE19+AE60+AE72</f>
        <v>#REF!</v>
      </c>
    </row>
    <row r="18" spans="1:31" s="129" customFormat="1">
      <c r="A18" s="121"/>
      <c r="B18" s="104" t="s">
        <v>173</v>
      </c>
      <c r="C18" s="121"/>
      <c r="D18" s="121"/>
      <c r="E18" s="19"/>
      <c r="F18" s="432"/>
      <c r="G18" s="362"/>
      <c r="H18" s="362"/>
      <c r="I18" s="362"/>
      <c r="J18" s="362"/>
      <c r="K18" s="368"/>
      <c r="L18" s="640"/>
      <c r="M18" s="593"/>
      <c r="N18" s="578"/>
      <c r="O18" s="19"/>
      <c r="P18" s="291"/>
      <c r="Q18" s="398"/>
      <c r="R18" s="614"/>
      <c r="S18" s="376">
        <f>S17/N17</f>
        <v>1.0534729090993336</v>
      </c>
      <c r="T18" s="269"/>
      <c r="U18" s="315"/>
      <c r="V18" s="652"/>
      <c r="W18" s="662">
        <v>1.0534744407853458</v>
      </c>
      <c r="X18" s="269"/>
      <c r="Y18" s="315"/>
      <c r="Z18" s="663"/>
      <c r="AA18" s="678"/>
      <c r="AB18" s="376" t="e">
        <f>AB17/S17</f>
        <v>#REF!</v>
      </c>
      <c r="AC18" s="269"/>
      <c r="AD18" s="315"/>
      <c r="AE18" s="270" t="e">
        <f>AE17/V17</f>
        <v>#REF!</v>
      </c>
    </row>
    <row r="19" spans="1:31" s="128" customFormat="1" ht="29.25" customHeight="1">
      <c r="A19" s="94" t="s">
        <v>17</v>
      </c>
      <c r="B19" s="95" t="s">
        <v>5</v>
      </c>
      <c r="C19" s="96" t="s">
        <v>36</v>
      </c>
      <c r="D19" s="73"/>
      <c r="E19" s="73"/>
      <c r="F19" s="73"/>
      <c r="G19" s="73"/>
      <c r="H19" s="73">
        <f>H26+H30+H31+H32+H34+H37+H38+H49+H51+H54+H59</f>
        <v>7790.3899999999994</v>
      </c>
      <c r="I19" s="73">
        <f>I26+I30+I31+I32+I34+I37+I38+I49+I51+I54+I59</f>
        <v>3727.0880000000006</v>
      </c>
      <c r="J19" s="73">
        <f>J26+J30+J31+J32+J34+J37+J59+J38+J49+J51+J54</f>
        <v>4063.3179999999998</v>
      </c>
      <c r="K19" s="97"/>
      <c r="L19" s="615"/>
      <c r="M19" s="594">
        <f>M26+M30+M31+M32+M34+M37+M38+M49+M51+M54+M59</f>
        <v>8399.3260068800009</v>
      </c>
      <c r="N19" s="72">
        <f>O19+Q19</f>
        <v>7290.6522044136127</v>
      </c>
      <c r="O19" s="73">
        <f>O26+O30+O31+O32+O34+O37+O38+O49+O51+O54+O59+O45+O48</f>
        <v>3593.788238572487</v>
      </c>
      <c r="P19" s="292"/>
      <c r="Q19" s="399">
        <f>Q26+Q30+Q31+Q32+Q34+Q37+Q38+Q49+Q51+Q54+Q59+Q45+Q48</f>
        <v>3696.8639658411262</v>
      </c>
      <c r="R19" s="615"/>
      <c r="S19" s="377">
        <f>T19+V19</f>
        <v>7576.3530115948042</v>
      </c>
      <c r="T19" s="73">
        <f>Q19</f>
        <v>3696.8639658411262</v>
      </c>
      <c r="U19" s="321">
        <f>(1-S20)*(1+S21)*(1+S23)</f>
        <v>1.0494000000000001</v>
      </c>
      <c r="V19" s="97">
        <f>Q19*(1-S20)*(1+S21)*(1+S23)</f>
        <v>3879.4890457536781</v>
      </c>
      <c r="W19" s="72">
        <f>X19+Z19</f>
        <v>7503.1551050711496</v>
      </c>
      <c r="X19" s="73">
        <f>Q19</f>
        <v>3696.8639658411262</v>
      </c>
      <c r="Y19" s="707">
        <f>1*(1-W20)*(1+W21)</f>
        <v>1.0296000000000001</v>
      </c>
      <c r="Z19" s="399">
        <f>X19*Y19</f>
        <v>3806.2911392300239</v>
      </c>
      <c r="AA19" s="679">
        <f>W19-S19</f>
        <v>-73.197906523654638</v>
      </c>
      <c r="AB19" s="377">
        <f>AC19+AE19</f>
        <v>7912.2179088146258</v>
      </c>
      <c r="AC19" s="73">
        <f>V19</f>
        <v>3879.4890457536781</v>
      </c>
      <c r="AD19" s="321">
        <f>(1-AB20)*(1+AB21)*(1+AB23)</f>
        <v>1.0395000000000001</v>
      </c>
      <c r="AE19" s="73">
        <f>AC19*(1-AB20)*(1+AB21)*(1+AB23)</f>
        <v>4032.7288630609482</v>
      </c>
    </row>
    <row r="20" spans="1:31" s="4" customFormat="1" ht="12.75">
      <c r="A20" s="38"/>
      <c r="B20" s="24" t="s">
        <v>6</v>
      </c>
      <c r="C20" s="12" t="s">
        <v>7</v>
      </c>
      <c r="D20" s="12"/>
      <c r="E20" s="12"/>
      <c r="F20" s="84"/>
      <c r="G20" s="12"/>
      <c r="H20" s="12"/>
      <c r="I20" s="20"/>
      <c r="J20" s="20"/>
      <c r="K20" s="63"/>
      <c r="L20" s="619"/>
      <c r="M20" s="595"/>
      <c r="N20" s="579"/>
      <c r="O20" s="25"/>
      <c r="P20" s="293"/>
      <c r="Q20" s="400">
        <v>0.01</v>
      </c>
      <c r="R20" s="616"/>
      <c r="S20" s="378">
        <v>0.01</v>
      </c>
      <c r="T20" s="26"/>
      <c r="U20" s="316"/>
      <c r="V20" s="653"/>
      <c r="W20" s="579">
        <v>0.01</v>
      </c>
      <c r="X20" s="26"/>
      <c r="Y20" s="26"/>
      <c r="Z20" s="664"/>
      <c r="AA20" s="680"/>
      <c r="AB20" s="378">
        <v>0.01</v>
      </c>
      <c r="AC20" s="25"/>
      <c r="AD20" s="293"/>
      <c r="AE20" s="25"/>
    </row>
    <row r="21" spans="1:31" s="4" customFormat="1" ht="12.75">
      <c r="A21" s="38"/>
      <c r="B21" s="24" t="s">
        <v>21</v>
      </c>
      <c r="C21" s="12" t="s">
        <v>7</v>
      </c>
      <c r="D21" s="12"/>
      <c r="E21" s="12"/>
      <c r="F21" s="84"/>
      <c r="G21" s="12"/>
      <c r="H21" s="12"/>
      <c r="I21" s="20"/>
      <c r="J21" s="20"/>
      <c r="K21" s="63"/>
      <c r="L21" s="619"/>
      <c r="M21" s="595"/>
      <c r="N21" s="577"/>
      <c r="O21" s="27"/>
      <c r="P21" s="294"/>
      <c r="Q21" s="401">
        <v>6.4000000000000001E-2</v>
      </c>
      <c r="R21" s="617"/>
      <c r="S21" s="373">
        <v>0.06</v>
      </c>
      <c r="T21" s="27"/>
      <c r="U21" s="294"/>
      <c r="V21" s="284"/>
      <c r="W21" s="577">
        <v>0.04</v>
      </c>
      <c r="X21" s="27"/>
      <c r="Y21" s="27"/>
      <c r="Z21" s="401"/>
      <c r="AA21" s="674"/>
      <c r="AB21" s="373">
        <v>0.05</v>
      </c>
      <c r="AC21" s="27"/>
      <c r="AD21" s="294"/>
      <c r="AE21" s="27"/>
    </row>
    <row r="22" spans="1:31" s="4" customFormat="1" ht="12.75">
      <c r="A22" s="38"/>
      <c r="B22" s="28" t="s">
        <v>11</v>
      </c>
      <c r="C22" s="12" t="s">
        <v>7</v>
      </c>
      <c r="D22" s="12"/>
      <c r="E22" s="12"/>
      <c r="F22" s="84"/>
      <c r="G22" s="12"/>
      <c r="H22" s="12"/>
      <c r="I22" s="20"/>
      <c r="J22" s="20"/>
      <c r="K22" s="63"/>
      <c r="L22" s="619"/>
      <c r="M22" s="595"/>
      <c r="N22" s="580"/>
      <c r="O22" s="69"/>
      <c r="P22" s="295"/>
      <c r="Q22" s="402">
        <v>1.075</v>
      </c>
      <c r="R22" s="618"/>
      <c r="S22" s="379">
        <v>1.07</v>
      </c>
      <c r="T22" s="30"/>
      <c r="U22" s="319"/>
      <c r="V22" s="654"/>
      <c r="W22" s="580">
        <v>5.0999999999999997E-2</v>
      </c>
      <c r="X22" s="69"/>
      <c r="Y22" s="708"/>
      <c r="Z22" s="402"/>
      <c r="AA22" s="681"/>
      <c r="AB22" s="379">
        <v>1.0620000000000001</v>
      </c>
      <c r="AC22" s="30"/>
      <c r="AD22" s="319"/>
      <c r="AE22" s="24"/>
    </row>
    <row r="23" spans="1:31" s="1" customFormat="1" ht="13.5" customHeight="1">
      <c r="A23" s="38"/>
      <c r="B23" s="24" t="s">
        <v>75</v>
      </c>
      <c r="C23" s="12" t="s">
        <v>7</v>
      </c>
      <c r="D23" s="12"/>
      <c r="E23" s="12"/>
      <c r="F23" s="84"/>
      <c r="G23" s="12"/>
      <c r="H23" s="12"/>
      <c r="I23" s="20"/>
      <c r="J23" s="20"/>
      <c r="K23" s="63"/>
      <c r="L23" s="619"/>
      <c r="M23" s="595"/>
      <c r="N23" s="68"/>
      <c r="O23" s="12"/>
      <c r="P23" s="296"/>
      <c r="Q23" s="403">
        <v>0</v>
      </c>
      <c r="R23" s="619"/>
      <c r="S23" s="380">
        <v>0</v>
      </c>
      <c r="T23" s="12">
        <v>0</v>
      </c>
      <c r="U23" s="296"/>
      <c r="V23" s="63">
        <v>0</v>
      </c>
      <c r="W23" s="68">
        <v>0</v>
      </c>
      <c r="X23" s="12">
        <v>0</v>
      </c>
      <c r="Y23" s="12"/>
      <c r="Z23" s="403">
        <v>0</v>
      </c>
      <c r="AA23" s="682"/>
      <c r="AB23" s="380">
        <v>0</v>
      </c>
      <c r="AC23" s="12">
        <v>0</v>
      </c>
      <c r="AD23" s="296"/>
      <c r="AE23" s="61">
        <v>0</v>
      </c>
    </row>
    <row r="24" spans="1:31" s="1" customFormat="1">
      <c r="A24" s="98" t="s">
        <v>18</v>
      </c>
      <c r="B24" s="99" t="s">
        <v>13</v>
      </c>
      <c r="C24" s="12"/>
      <c r="D24" s="12"/>
      <c r="E24" s="12"/>
      <c r="F24" s="84"/>
      <c r="G24" s="32"/>
      <c r="H24" s="32"/>
      <c r="I24" s="32"/>
      <c r="J24" s="32"/>
      <c r="K24" s="91"/>
      <c r="L24" s="620"/>
      <c r="M24" s="347"/>
      <c r="N24" s="74"/>
      <c r="O24" s="32"/>
      <c r="P24" s="297"/>
      <c r="Q24" s="404"/>
      <c r="R24" s="620"/>
      <c r="S24" s="372"/>
      <c r="T24" s="20"/>
      <c r="U24" s="298"/>
      <c r="V24" s="65"/>
      <c r="W24" s="75"/>
      <c r="X24" s="20"/>
      <c r="Y24" s="298"/>
      <c r="Z24" s="405"/>
      <c r="AA24" s="673"/>
      <c r="AB24" s="372"/>
      <c r="AC24" s="20"/>
      <c r="AD24" s="298"/>
      <c r="AE24" s="92"/>
    </row>
    <row r="25" spans="1:31" s="1" customFormat="1" hidden="1">
      <c r="A25" s="38" t="s">
        <v>42</v>
      </c>
      <c r="B25" s="100" t="s">
        <v>53</v>
      </c>
      <c r="C25" s="101" t="s">
        <v>4</v>
      </c>
      <c r="D25" s="101"/>
      <c r="E25" s="101"/>
      <c r="F25" s="360"/>
      <c r="G25" s="32"/>
      <c r="H25" s="32"/>
      <c r="I25" s="32"/>
      <c r="J25" s="32"/>
      <c r="K25" s="65"/>
      <c r="L25" s="621"/>
      <c r="M25" s="347"/>
      <c r="N25" s="75"/>
      <c r="O25" s="20"/>
      <c r="P25" s="298"/>
      <c r="Q25" s="405"/>
      <c r="R25" s="621"/>
      <c r="S25" s="372"/>
      <c r="T25" s="20"/>
      <c r="U25" s="298"/>
      <c r="V25" s="65"/>
      <c r="W25" s="75"/>
      <c r="X25" s="20"/>
      <c r="Y25" s="298"/>
      <c r="Z25" s="405"/>
      <c r="AA25" s="673"/>
      <c r="AB25" s="372"/>
      <c r="AC25" s="20"/>
      <c r="AD25" s="298"/>
      <c r="AE25" s="92"/>
    </row>
    <row r="26" spans="1:31" s="1" customFormat="1">
      <c r="A26" s="38" t="s">
        <v>42</v>
      </c>
      <c r="B26" s="24" t="s">
        <v>64</v>
      </c>
      <c r="C26" s="101" t="s">
        <v>4</v>
      </c>
      <c r="D26" s="329"/>
      <c r="E26" s="329"/>
      <c r="F26" s="360"/>
      <c r="G26" s="32"/>
      <c r="H26" s="32">
        <v>945.37</v>
      </c>
      <c r="I26" s="32">
        <v>460.03</v>
      </c>
      <c r="J26" s="32">
        <v>485.33</v>
      </c>
      <c r="K26" s="91"/>
      <c r="L26" s="620"/>
      <c r="M26" s="347">
        <f>M27*M28*12/1000</f>
        <v>1067.735328</v>
      </c>
      <c r="N26" s="74">
        <f>O26+Q26</f>
        <v>1001.7298713600001</v>
      </c>
      <c r="O26" s="32">
        <f>O27*O28*6/1000</f>
        <v>485.33423999999997</v>
      </c>
      <c r="P26" s="320">
        <v>1.0640000000000001</v>
      </c>
      <c r="Q26" s="404">
        <f>Q27*Q28*6/1000</f>
        <v>516.39563136000004</v>
      </c>
      <c r="R26" s="620"/>
      <c r="S26" s="381"/>
      <c r="T26" s="20"/>
      <c r="U26" s="311">
        <v>1.06</v>
      </c>
      <c r="V26" s="65"/>
      <c r="W26" s="74"/>
      <c r="X26" s="20"/>
      <c r="Y26" s="311"/>
      <c r="Z26" s="405"/>
      <c r="AA26" s="673"/>
      <c r="AB26" s="372" t="s">
        <v>45</v>
      </c>
      <c r="AC26" s="20"/>
      <c r="AD26" s="311">
        <v>1.05</v>
      </c>
      <c r="AE26" s="92"/>
    </row>
    <row r="27" spans="1:31" s="130" customFormat="1" ht="12.75">
      <c r="A27" s="102"/>
      <c r="B27" s="28" t="s">
        <v>14</v>
      </c>
      <c r="C27" s="101" t="s">
        <v>55</v>
      </c>
      <c r="D27" s="330"/>
      <c r="E27" s="77"/>
      <c r="F27" s="436"/>
      <c r="G27" s="77"/>
      <c r="H27" s="80">
        <v>8</v>
      </c>
      <c r="I27" s="77">
        <v>8</v>
      </c>
      <c r="J27" s="77">
        <v>8</v>
      </c>
      <c r="K27" s="103"/>
      <c r="L27" s="625"/>
      <c r="M27" s="596">
        <f>J27</f>
        <v>8</v>
      </c>
      <c r="N27" s="76">
        <f>J27</f>
        <v>8</v>
      </c>
      <c r="O27" s="77">
        <f>J27</f>
        <v>8</v>
      </c>
      <c r="P27" s="299"/>
      <c r="Q27" s="406">
        <f>O27</f>
        <v>8</v>
      </c>
      <c r="R27" s="622"/>
      <c r="S27" s="382"/>
      <c r="T27" s="88"/>
      <c r="U27" s="304"/>
      <c r="V27" s="120"/>
      <c r="W27" s="87"/>
      <c r="X27" s="88"/>
      <c r="Y27" s="304"/>
      <c r="Z27" s="411"/>
      <c r="AA27" s="683"/>
      <c r="AB27" s="382"/>
      <c r="AC27" s="88"/>
      <c r="AD27" s="304"/>
      <c r="AE27" s="88"/>
    </row>
    <row r="28" spans="1:31" s="130" customFormat="1" ht="12.75">
      <c r="A28" s="102"/>
      <c r="B28" s="28" t="s">
        <v>15</v>
      </c>
      <c r="C28" s="101" t="s">
        <v>56</v>
      </c>
      <c r="D28" s="330"/>
      <c r="E28" s="77"/>
      <c r="F28" s="436"/>
      <c r="G28" s="77"/>
      <c r="H28" s="80">
        <v>9847.57</v>
      </c>
      <c r="I28" s="77">
        <v>9584.01</v>
      </c>
      <c r="J28" s="77">
        <v>10111.129999999999</v>
      </c>
      <c r="K28" s="103"/>
      <c r="L28" s="625"/>
      <c r="M28" s="596">
        <f>J28*1.1</f>
        <v>11122.243</v>
      </c>
      <c r="N28" s="76">
        <f>N26/N27/12*1000</f>
        <v>10434.686159999999</v>
      </c>
      <c r="O28" s="77">
        <f>J28</f>
        <v>10111.129999999999</v>
      </c>
      <c r="P28" s="299"/>
      <c r="Q28" s="406">
        <f>O28*P26</f>
        <v>10758.242319999999</v>
      </c>
      <c r="R28" s="622"/>
      <c r="S28" s="382"/>
      <c r="T28" s="88"/>
      <c r="U28" s="304"/>
      <c r="V28" s="120"/>
      <c r="W28" s="87"/>
      <c r="X28" s="88"/>
      <c r="Y28" s="304"/>
      <c r="Z28" s="411"/>
      <c r="AA28" s="683"/>
      <c r="AB28" s="382"/>
      <c r="AC28" s="88"/>
      <c r="AD28" s="304"/>
      <c r="AE28" s="93"/>
    </row>
    <row r="29" spans="1:31" s="130" customFormat="1" ht="12.75">
      <c r="A29" s="102"/>
      <c r="B29" s="351" t="s">
        <v>180</v>
      </c>
      <c r="C29" s="352" t="s">
        <v>56</v>
      </c>
      <c r="D29" s="330"/>
      <c r="E29" s="353"/>
      <c r="F29" s="433"/>
      <c r="G29" s="454"/>
      <c r="H29" s="547">
        <v>7056</v>
      </c>
      <c r="I29" s="353"/>
      <c r="J29" s="353"/>
      <c r="K29" s="636"/>
      <c r="L29" s="641"/>
      <c r="M29" s="597"/>
      <c r="N29" s="76"/>
      <c r="O29" s="77"/>
      <c r="P29" s="299"/>
      <c r="Q29" s="406"/>
      <c r="R29" s="622"/>
      <c r="S29" s="382"/>
      <c r="T29" s="88"/>
      <c r="U29" s="304"/>
      <c r="V29" s="120"/>
      <c r="W29" s="87"/>
      <c r="X29" s="88"/>
      <c r="Y29" s="304"/>
      <c r="Z29" s="411"/>
      <c r="AA29" s="683"/>
      <c r="AB29" s="382"/>
      <c r="AC29" s="88"/>
      <c r="AD29" s="304"/>
      <c r="AE29" s="93"/>
    </row>
    <row r="30" spans="1:31" s="1" customFormat="1">
      <c r="A30" s="38" t="s">
        <v>43</v>
      </c>
      <c r="B30" s="110" t="s">
        <v>185</v>
      </c>
      <c r="C30" s="111" t="s">
        <v>36</v>
      </c>
      <c r="D30" s="331"/>
      <c r="E30" s="329"/>
      <c r="F30" s="360"/>
      <c r="G30" s="82"/>
      <c r="H30" s="32">
        <v>285.5</v>
      </c>
      <c r="I30" s="82">
        <v>138.93</v>
      </c>
      <c r="J30" s="82">
        <v>146.57</v>
      </c>
      <c r="K30" s="112"/>
      <c r="L30" s="623"/>
      <c r="M30" s="598">
        <f>M26*0.302</f>
        <v>322.45606905599999</v>
      </c>
      <c r="N30" s="81">
        <f>O30+Q30</f>
        <v>302.52242115071999</v>
      </c>
      <c r="O30" s="82">
        <f>O26*0.302</f>
        <v>146.57094047999999</v>
      </c>
      <c r="P30" s="300"/>
      <c r="Q30" s="407">
        <f>Q26*0.302</f>
        <v>155.95148067072</v>
      </c>
      <c r="R30" s="623"/>
      <c r="S30" s="372"/>
      <c r="T30" s="20"/>
      <c r="U30" s="298"/>
      <c r="V30" s="65"/>
      <c r="W30" s="75"/>
      <c r="X30" s="20"/>
      <c r="Y30" s="298"/>
      <c r="Z30" s="405"/>
      <c r="AA30" s="673"/>
      <c r="AB30" s="372"/>
      <c r="AC30" s="20"/>
      <c r="AD30" s="298"/>
      <c r="AE30" s="20"/>
    </row>
    <row r="31" spans="1:31" s="1" customFormat="1">
      <c r="A31" s="38" t="s">
        <v>57</v>
      </c>
      <c r="B31" s="110" t="s">
        <v>176</v>
      </c>
      <c r="C31" s="111" t="s">
        <v>36</v>
      </c>
      <c r="D31" s="331"/>
      <c r="E31" s="329"/>
      <c r="F31" s="84"/>
      <c r="G31" s="82"/>
      <c r="H31" s="82">
        <v>1055.48</v>
      </c>
      <c r="I31" s="82">
        <v>494.8</v>
      </c>
      <c r="J31" s="82">
        <v>560.69000000000005</v>
      </c>
      <c r="K31" s="112"/>
      <c r="L31" s="623"/>
      <c r="M31" s="598">
        <v>1107.6300000000001</v>
      </c>
      <c r="N31" s="81">
        <f>O31+Q31</f>
        <v>1055.48</v>
      </c>
      <c r="O31" s="82">
        <f>H31/2</f>
        <v>527.74</v>
      </c>
      <c r="P31" s="300"/>
      <c r="Q31" s="407">
        <f>O31</f>
        <v>527.74</v>
      </c>
      <c r="R31" s="623"/>
      <c r="S31" s="372"/>
      <c r="T31" s="20"/>
      <c r="U31" s="298"/>
      <c r="V31" s="65"/>
      <c r="W31" s="75"/>
      <c r="X31" s="20"/>
      <c r="Y31" s="298"/>
      <c r="Z31" s="405"/>
      <c r="AA31" s="673"/>
      <c r="AB31" s="372"/>
      <c r="AC31" s="20"/>
      <c r="AD31" s="298"/>
      <c r="AE31" s="20"/>
    </row>
    <row r="32" spans="1:31" s="1" customFormat="1">
      <c r="A32" s="38" t="s">
        <v>177</v>
      </c>
      <c r="B32" s="107" t="s">
        <v>68</v>
      </c>
      <c r="C32" s="111" t="s">
        <v>36</v>
      </c>
      <c r="D32" s="340"/>
      <c r="E32" s="340"/>
      <c r="F32" s="360"/>
      <c r="G32" s="32"/>
      <c r="H32" s="32">
        <v>187.98</v>
      </c>
      <c r="I32" s="32">
        <v>90.2</v>
      </c>
      <c r="J32" s="32">
        <v>97.78</v>
      </c>
      <c r="K32" s="91"/>
      <c r="L32" s="620"/>
      <c r="M32" s="347">
        <f>H32</f>
        <v>187.98</v>
      </c>
      <c r="N32" s="81">
        <f>O32+Q32</f>
        <v>187.98</v>
      </c>
      <c r="O32" s="82">
        <f>H32/2</f>
        <v>93.99</v>
      </c>
      <c r="P32" s="320">
        <f>P38</f>
        <v>1.0569999999999999</v>
      </c>
      <c r="Q32" s="407">
        <f>O32</f>
        <v>93.99</v>
      </c>
      <c r="R32" s="623"/>
      <c r="S32" s="372"/>
      <c r="T32" s="20"/>
      <c r="U32" s="298"/>
      <c r="V32" s="65"/>
      <c r="W32" s="75"/>
      <c r="X32" s="20"/>
      <c r="Y32" s="298"/>
      <c r="Z32" s="405"/>
      <c r="AA32" s="673"/>
      <c r="AB32" s="372"/>
      <c r="AC32" s="20"/>
      <c r="AD32" s="298"/>
      <c r="AE32" s="20"/>
    </row>
    <row r="33" spans="1:31" s="1" customFormat="1">
      <c r="A33" s="98" t="s">
        <v>19</v>
      </c>
      <c r="B33" s="99" t="s">
        <v>16</v>
      </c>
      <c r="C33" s="12"/>
      <c r="D33" s="12"/>
      <c r="E33" s="12"/>
      <c r="F33" s="84"/>
      <c r="G33" s="32"/>
      <c r="H33" s="32"/>
      <c r="I33" s="32"/>
      <c r="J33" s="32"/>
      <c r="K33" s="91"/>
      <c r="L33" s="620"/>
      <c r="M33" s="347"/>
      <c r="N33" s="74"/>
      <c r="O33" s="32"/>
      <c r="P33" s="297"/>
      <c r="Q33" s="404"/>
      <c r="R33" s="620"/>
      <c r="S33" s="372"/>
      <c r="T33" s="20"/>
      <c r="U33" s="298"/>
      <c r="V33" s="65"/>
      <c r="W33" s="75"/>
      <c r="X33" s="20"/>
      <c r="Y33" s="298"/>
      <c r="Z33" s="405"/>
      <c r="AA33" s="673"/>
      <c r="AB33" s="372"/>
      <c r="AC33" s="20"/>
      <c r="AD33" s="298"/>
      <c r="AE33" s="92"/>
    </row>
    <row r="34" spans="1:31" s="1" customFormat="1">
      <c r="A34" s="38" t="s">
        <v>58</v>
      </c>
      <c r="B34" s="24" t="s">
        <v>88</v>
      </c>
      <c r="C34" s="101" t="s">
        <v>4</v>
      </c>
      <c r="D34" s="101"/>
      <c r="E34" s="101"/>
      <c r="F34" s="360"/>
      <c r="G34" s="32"/>
      <c r="H34" s="360">
        <v>863.51</v>
      </c>
      <c r="I34" s="32">
        <v>420.2</v>
      </c>
      <c r="J34" s="32">
        <v>443.31</v>
      </c>
      <c r="K34" s="91"/>
      <c r="L34" s="620"/>
      <c r="M34" s="347">
        <f>M35*M36*12/1000</f>
        <v>975.28411200000005</v>
      </c>
      <c r="N34" s="74">
        <f>O34+Q34</f>
        <v>914.99382144000003</v>
      </c>
      <c r="O34" s="32">
        <f>O35*O36*6/1000</f>
        <v>443.31096000000002</v>
      </c>
      <c r="P34" s="311">
        <v>1.0640000000000001</v>
      </c>
      <c r="Q34" s="404">
        <f>Q35*Q36*6/1000</f>
        <v>471.68286144000001</v>
      </c>
      <c r="R34" s="620"/>
      <c r="S34" s="372"/>
      <c r="T34" s="20"/>
      <c r="U34" s="311">
        <v>1.06</v>
      </c>
      <c r="V34" s="65"/>
      <c r="W34" s="75"/>
      <c r="X34" s="20"/>
      <c r="Y34" s="311"/>
      <c r="Z34" s="405"/>
      <c r="AA34" s="673"/>
      <c r="AB34" s="372"/>
      <c r="AC34" s="20"/>
      <c r="AD34" s="311">
        <v>1.05</v>
      </c>
      <c r="AE34" s="92"/>
    </row>
    <row r="35" spans="1:31" s="1" customFormat="1">
      <c r="A35" s="38"/>
      <c r="B35" s="28" t="s">
        <v>14</v>
      </c>
      <c r="C35" s="101" t="s">
        <v>55</v>
      </c>
      <c r="D35" s="101"/>
      <c r="E35" s="101"/>
      <c r="F35" s="436"/>
      <c r="G35" s="77"/>
      <c r="H35" s="93">
        <v>4</v>
      </c>
      <c r="I35" s="80">
        <v>4</v>
      </c>
      <c r="J35" s="80">
        <v>4</v>
      </c>
      <c r="K35" s="108"/>
      <c r="L35" s="622"/>
      <c r="M35" s="596">
        <f>J35</f>
        <v>4</v>
      </c>
      <c r="N35" s="79">
        <f>J35</f>
        <v>4</v>
      </c>
      <c r="O35" s="80">
        <f>J35</f>
        <v>4</v>
      </c>
      <c r="P35" s="299"/>
      <c r="Q35" s="406">
        <f>O35</f>
        <v>4</v>
      </c>
      <c r="R35" s="622"/>
      <c r="S35" s="372"/>
      <c r="T35" s="20"/>
      <c r="U35" s="298"/>
      <c r="V35" s="65"/>
      <c r="W35" s="75"/>
      <c r="X35" s="20"/>
      <c r="Y35" s="298"/>
      <c r="Z35" s="405"/>
      <c r="AA35" s="673"/>
      <c r="AB35" s="372"/>
      <c r="AC35" s="20"/>
      <c r="AD35" s="298"/>
      <c r="AE35" s="92"/>
    </row>
    <row r="36" spans="1:31" s="1" customFormat="1">
      <c r="A36" s="38"/>
      <c r="B36" s="28" t="s">
        <v>15</v>
      </c>
      <c r="C36" s="101" t="s">
        <v>56</v>
      </c>
      <c r="D36" s="101"/>
      <c r="E36" s="101"/>
      <c r="F36" s="436"/>
      <c r="G36" s="77"/>
      <c r="H36" s="93">
        <v>17989.810000000001</v>
      </c>
      <c r="I36" s="80">
        <v>17508.330000000002</v>
      </c>
      <c r="J36" s="80">
        <v>18471.29</v>
      </c>
      <c r="K36" s="108"/>
      <c r="L36" s="622"/>
      <c r="M36" s="596">
        <f>J36*1.1</f>
        <v>20318.419000000002</v>
      </c>
      <c r="N36" s="79">
        <f>N34/N35/12*1000</f>
        <v>19062.371279999999</v>
      </c>
      <c r="O36" s="80">
        <f>J36</f>
        <v>18471.29</v>
      </c>
      <c r="P36" s="299"/>
      <c r="Q36" s="406">
        <f>O36*P34</f>
        <v>19653.452560000002</v>
      </c>
      <c r="R36" s="622"/>
      <c r="S36" s="372"/>
      <c r="T36" s="20"/>
      <c r="U36" s="298"/>
      <c r="V36" s="65"/>
      <c r="W36" s="75"/>
      <c r="X36" s="20"/>
      <c r="Y36" s="298"/>
      <c r="Z36" s="405"/>
      <c r="AA36" s="673"/>
      <c r="AB36" s="372"/>
      <c r="AC36" s="20"/>
      <c r="AD36" s="298"/>
      <c r="AE36" s="92"/>
    </row>
    <row r="37" spans="1:31" s="1" customFormat="1">
      <c r="A37" s="38" t="s">
        <v>59</v>
      </c>
      <c r="B37" s="24" t="s">
        <v>186</v>
      </c>
      <c r="C37" s="29" t="s">
        <v>36</v>
      </c>
      <c r="D37" s="29"/>
      <c r="E37" s="29"/>
      <c r="F37" s="360"/>
      <c r="G37" s="32"/>
      <c r="H37" s="360">
        <v>260.77999999999997</v>
      </c>
      <c r="I37" s="32">
        <v>126.9</v>
      </c>
      <c r="J37" s="32">
        <v>133.88</v>
      </c>
      <c r="K37" s="91"/>
      <c r="L37" s="620"/>
      <c r="M37" s="347">
        <f>M34*0.302</f>
        <v>294.53580182400003</v>
      </c>
      <c r="N37" s="74">
        <f>O37+Q37</f>
        <v>276.32813407487998</v>
      </c>
      <c r="O37" s="32">
        <f>O34*0.302</f>
        <v>133.87990991999999</v>
      </c>
      <c r="P37" s="297"/>
      <c r="Q37" s="404">
        <f>Q34*0.302</f>
        <v>142.44822415487999</v>
      </c>
      <c r="R37" s="620"/>
      <c r="S37" s="372"/>
      <c r="T37" s="20"/>
      <c r="U37" s="298"/>
      <c r="V37" s="65"/>
      <c r="W37" s="75"/>
      <c r="X37" s="20"/>
      <c r="Y37" s="298"/>
      <c r="Z37" s="405"/>
      <c r="AA37" s="673"/>
      <c r="AB37" s="372"/>
      <c r="AC37" s="20"/>
      <c r="AD37" s="298"/>
      <c r="AE37" s="92"/>
    </row>
    <row r="38" spans="1:31" s="1" customFormat="1">
      <c r="A38" s="38" t="s">
        <v>58</v>
      </c>
      <c r="B38" s="24" t="s">
        <v>136</v>
      </c>
      <c r="C38" s="101" t="s">
        <v>4</v>
      </c>
      <c r="D38" s="329"/>
      <c r="E38" s="329"/>
      <c r="F38" s="484"/>
      <c r="G38" s="360"/>
      <c r="H38" s="32">
        <v>715</v>
      </c>
      <c r="I38" s="32">
        <v>357.5</v>
      </c>
      <c r="J38" s="32">
        <v>357.5</v>
      </c>
      <c r="K38" s="112"/>
      <c r="L38" s="623"/>
      <c r="M38" s="347">
        <f>H38</f>
        <v>715</v>
      </c>
      <c r="N38" s="81">
        <f>O38+Q38</f>
        <v>555</v>
      </c>
      <c r="O38" s="82">
        <f>O39+O40</f>
        <v>277.5</v>
      </c>
      <c r="P38" s="311">
        <v>1.0569999999999999</v>
      </c>
      <c r="Q38" s="407">
        <f>Q39+Q40</f>
        <v>277.5</v>
      </c>
      <c r="R38" s="623"/>
      <c r="S38" s="372"/>
      <c r="T38" s="20"/>
      <c r="U38" s="311">
        <v>1.052</v>
      </c>
      <c r="V38" s="65"/>
      <c r="W38" s="75"/>
      <c r="X38" s="20"/>
      <c r="Y38" s="311"/>
      <c r="Z38" s="405"/>
      <c r="AA38" s="673"/>
      <c r="AB38" s="372"/>
      <c r="AC38" s="20"/>
      <c r="AD38" s="311">
        <v>1.0449999999999999</v>
      </c>
      <c r="AE38" s="92"/>
    </row>
    <row r="39" spans="1:31" s="1" customFormat="1">
      <c r="A39" s="38"/>
      <c r="B39" s="28" t="s">
        <v>295</v>
      </c>
      <c r="C39" s="101" t="s">
        <v>4</v>
      </c>
      <c r="D39" s="329"/>
      <c r="E39" s="329"/>
      <c r="F39" s="484"/>
      <c r="G39" s="162"/>
      <c r="H39" s="77">
        <v>660</v>
      </c>
      <c r="I39" s="77">
        <f>H39/2</f>
        <v>330</v>
      </c>
      <c r="J39" s="77">
        <f>H39-I39</f>
        <v>330</v>
      </c>
      <c r="K39" s="538"/>
      <c r="L39" s="624"/>
      <c r="M39" s="596">
        <f>660</f>
        <v>660</v>
      </c>
      <c r="N39" s="581">
        <f>O39+Q39</f>
        <v>500</v>
      </c>
      <c r="O39" s="143">
        <f>J39-80</f>
        <v>250</v>
      </c>
      <c r="P39" s="358"/>
      <c r="Q39" s="415">
        <f>O39</f>
        <v>250</v>
      </c>
      <c r="R39" s="624"/>
      <c r="S39" s="372"/>
      <c r="T39" s="20"/>
      <c r="U39" s="311"/>
      <c r="V39" s="65"/>
      <c r="W39" s="75"/>
      <c r="X39" s="20"/>
      <c r="Y39" s="311"/>
      <c r="Z39" s="405"/>
      <c r="AA39" s="673"/>
      <c r="AB39" s="372"/>
      <c r="AC39" s="20"/>
      <c r="AD39" s="311"/>
      <c r="AE39" s="92"/>
    </row>
    <row r="40" spans="1:31" s="1" customFormat="1">
      <c r="A40" s="38"/>
      <c r="B40" s="28" t="s">
        <v>296</v>
      </c>
      <c r="C40" s="101" t="s">
        <v>4</v>
      </c>
      <c r="D40" s="329"/>
      <c r="E40" s="344"/>
      <c r="F40" s="84"/>
      <c r="G40" s="77"/>
      <c r="H40" s="77">
        <v>55</v>
      </c>
      <c r="I40" s="77">
        <f>H40/2</f>
        <v>27.5</v>
      </c>
      <c r="J40" s="77">
        <f>H40-I40</f>
        <v>27.5</v>
      </c>
      <c r="K40" s="112"/>
      <c r="L40" s="623"/>
      <c r="M40" s="596">
        <v>55</v>
      </c>
      <c r="N40" s="581">
        <f>O40+Q40</f>
        <v>55</v>
      </c>
      <c r="O40" s="143">
        <f>J40</f>
        <v>27.5</v>
      </c>
      <c r="P40" s="311"/>
      <c r="Q40" s="415">
        <f>O40</f>
        <v>27.5</v>
      </c>
      <c r="R40" s="624"/>
      <c r="S40" s="372"/>
      <c r="T40" s="20"/>
      <c r="U40" s="311"/>
      <c r="V40" s="65"/>
      <c r="W40" s="75"/>
      <c r="X40" s="20"/>
      <c r="Y40" s="311"/>
      <c r="Z40" s="405"/>
      <c r="AA40" s="673"/>
      <c r="AB40" s="372"/>
      <c r="AC40" s="20"/>
      <c r="AD40" s="311"/>
      <c r="AE40" s="92"/>
    </row>
    <row r="41" spans="1:31" s="1" customFormat="1" ht="26.25" hidden="1">
      <c r="A41" s="348"/>
      <c r="B41" s="349" t="s">
        <v>198</v>
      </c>
      <c r="C41" s="101" t="s">
        <v>4</v>
      </c>
      <c r="D41" s="329"/>
      <c r="E41" s="344"/>
      <c r="F41" s="84"/>
      <c r="G41" s="77"/>
      <c r="H41" s="23"/>
      <c r="I41" s="32"/>
      <c r="J41" s="32"/>
      <c r="K41" s="112"/>
      <c r="L41" s="623"/>
      <c r="M41" s="596"/>
      <c r="N41" s="581"/>
      <c r="O41" s="143"/>
      <c r="P41" s="311">
        <v>1.0620000000000001</v>
      </c>
      <c r="Q41" s="415"/>
      <c r="R41" s="624"/>
      <c r="S41" s="372"/>
      <c r="T41" s="20"/>
      <c r="U41" s="311"/>
      <c r="V41" s="65"/>
      <c r="W41" s="75"/>
      <c r="X41" s="20"/>
      <c r="Y41" s="311"/>
      <c r="Z41" s="405"/>
      <c r="AA41" s="673"/>
      <c r="AB41" s="372"/>
      <c r="AC41" s="20"/>
      <c r="AD41" s="311"/>
      <c r="AE41" s="92"/>
    </row>
    <row r="42" spans="1:31" s="1" customFormat="1" hidden="1">
      <c r="A42" s="38" t="s">
        <v>76</v>
      </c>
      <c r="B42" s="24" t="s">
        <v>54</v>
      </c>
      <c r="C42" s="101" t="s">
        <v>4</v>
      </c>
      <c r="D42" s="101"/>
      <c r="E42" s="101"/>
      <c r="F42" s="84"/>
      <c r="G42" s="20"/>
      <c r="H42" s="20"/>
      <c r="I42" s="20"/>
      <c r="J42" s="20"/>
      <c r="K42" s="65"/>
      <c r="L42" s="621"/>
      <c r="M42" s="589"/>
      <c r="N42" s="75"/>
      <c r="O42" s="20"/>
      <c r="P42" s="298"/>
      <c r="Q42" s="405"/>
      <c r="R42" s="621"/>
      <c r="S42" s="372"/>
      <c r="T42" s="20"/>
      <c r="U42" s="298"/>
      <c r="V42" s="65"/>
      <c r="W42" s="75"/>
      <c r="X42" s="20"/>
      <c r="Y42" s="298"/>
      <c r="Z42" s="405"/>
      <c r="AA42" s="673"/>
      <c r="AB42" s="372"/>
      <c r="AC42" s="20"/>
      <c r="AD42" s="298"/>
      <c r="AE42" s="92"/>
    </row>
    <row r="43" spans="1:31" s="1" customFormat="1" ht="27.75" hidden="1" customHeight="1">
      <c r="A43" s="38" t="s">
        <v>89</v>
      </c>
      <c r="B43" s="109" t="s">
        <v>77</v>
      </c>
      <c r="C43" s="101" t="s">
        <v>4</v>
      </c>
      <c r="D43" s="101"/>
      <c r="E43" s="101"/>
      <c r="F43" s="84"/>
      <c r="G43" s="20"/>
      <c r="H43" s="20"/>
      <c r="I43" s="20"/>
      <c r="J43" s="20"/>
      <c r="K43" s="91"/>
      <c r="L43" s="620"/>
      <c r="M43" s="589"/>
      <c r="N43" s="75"/>
      <c r="O43" s="20"/>
      <c r="P43" s="298"/>
      <c r="Q43" s="405"/>
      <c r="R43" s="621"/>
      <c r="S43" s="372"/>
      <c r="T43" s="20"/>
      <c r="U43" s="298"/>
      <c r="V43" s="65"/>
      <c r="W43" s="75"/>
      <c r="X43" s="20"/>
      <c r="Y43" s="298"/>
      <c r="Z43" s="405"/>
      <c r="AA43" s="673"/>
      <c r="AB43" s="372"/>
      <c r="AC43" s="20"/>
      <c r="AD43" s="298"/>
      <c r="AE43" s="92"/>
    </row>
    <row r="44" spans="1:31" s="1" customFormat="1">
      <c r="A44" s="98" t="s">
        <v>33</v>
      </c>
      <c r="B44" s="99" t="s">
        <v>34</v>
      </c>
      <c r="C44" s="101"/>
      <c r="D44" s="101"/>
      <c r="E44" s="101"/>
      <c r="F44" s="84"/>
      <c r="G44" s="32"/>
      <c r="H44" s="32"/>
      <c r="I44" s="32"/>
      <c r="J44" s="32"/>
      <c r="K44" s="91"/>
      <c r="L44" s="620"/>
      <c r="M44" s="347"/>
      <c r="N44" s="74"/>
      <c r="O44" s="32"/>
      <c r="P44" s="297"/>
      <c r="Q44" s="404"/>
      <c r="R44" s="620"/>
      <c r="S44" s="372"/>
      <c r="T44" s="20"/>
      <c r="U44" s="298"/>
      <c r="V44" s="65"/>
      <c r="W44" s="75"/>
      <c r="X44" s="20"/>
      <c r="Y44" s="298"/>
      <c r="Z44" s="405"/>
      <c r="AA44" s="673"/>
      <c r="AB44" s="372"/>
      <c r="AC44" s="20"/>
      <c r="AD44" s="298"/>
      <c r="AE44" s="92"/>
    </row>
    <row r="45" spans="1:31" s="1" customFormat="1">
      <c r="A45" s="38" t="s">
        <v>60</v>
      </c>
      <c r="B45" s="24" t="s">
        <v>179</v>
      </c>
      <c r="C45" s="101" t="s">
        <v>4</v>
      </c>
      <c r="D45" s="101"/>
      <c r="E45" s="101"/>
      <c r="F45" s="360"/>
      <c r="G45" s="32"/>
      <c r="H45" s="32"/>
      <c r="I45" s="32"/>
      <c r="J45" s="32"/>
      <c r="K45" s="91"/>
      <c r="L45" s="620"/>
      <c r="M45" s="347"/>
      <c r="N45" s="74">
        <f>O45+Q45</f>
        <v>118.54969950021419</v>
      </c>
      <c r="O45" s="32">
        <f>ФОТ!C86/2</f>
        <v>57.436869912894466</v>
      </c>
      <c r="P45" s="311">
        <f>P51</f>
        <v>1.0640000000000001</v>
      </c>
      <c r="Q45" s="404">
        <f>Q46*Q47*6/1000</f>
        <v>61.112829587319716</v>
      </c>
      <c r="R45" s="620"/>
      <c r="S45" s="372"/>
      <c r="T45" s="20"/>
      <c r="U45" s="311">
        <v>1.06</v>
      </c>
      <c r="V45" s="65"/>
      <c r="W45" s="75"/>
      <c r="X45" s="20"/>
      <c r="Y45" s="311"/>
      <c r="Z45" s="405"/>
      <c r="AA45" s="673"/>
      <c r="AB45" s="372"/>
      <c r="AC45" s="20"/>
      <c r="AD45" s="311">
        <v>1.05</v>
      </c>
      <c r="AE45" s="92"/>
    </row>
    <row r="46" spans="1:31" s="1" customFormat="1">
      <c r="A46" s="38"/>
      <c r="B46" s="28" t="s">
        <v>14</v>
      </c>
      <c r="C46" s="101" t="s">
        <v>55</v>
      </c>
      <c r="D46" s="101"/>
      <c r="E46" s="101"/>
      <c r="F46" s="436"/>
      <c r="G46" s="77"/>
      <c r="H46" s="77"/>
      <c r="I46" s="77"/>
      <c r="J46" s="77"/>
      <c r="K46" s="103"/>
      <c r="L46" s="625"/>
      <c r="M46" s="599"/>
      <c r="N46" s="79">
        <f>ФОТ!F86</f>
        <v>0.46023132943024414</v>
      </c>
      <c r="O46" s="80">
        <f>ФОТ!F86</f>
        <v>0.46023132943024414</v>
      </c>
      <c r="P46" s="357"/>
      <c r="Q46" s="406">
        <f>ФОТ!F86</f>
        <v>0.46023132943024414</v>
      </c>
      <c r="R46" s="622"/>
      <c r="S46" s="372"/>
      <c r="T46" s="20"/>
      <c r="U46" s="298"/>
      <c r="V46" s="65"/>
      <c r="W46" s="75"/>
      <c r="X46" s="20"/>
      <c r="Y46" s="298"/>
      <c r="Z46" s="405"/>
      <c r="AA46" s="673"/>
      <c r="AB46" s="372"/>
      <c r="AC46" s="20"/>
      <c r="AD46" s="298"/>
      <c r="AE46" s="92"/>
    </row>
    <row r="47" spans="1:31" s="1" customFormat="1">
      <c r="A47" s="38"/>
      <c r="B47" s="28" t="s">
        <v>15</v>
      </c>
      <c r="C47" s="101" t="s">
        <v>56</v>
      </c>
      <c r="D47" s="101"/>
      <c r="E47" s="101"/>
      <c r="F47" s="436"/>
      <c r="G47" s="77"/>
      <c r="H47" s="77"/>
      <c r="I47" s="77"/>
      <c r="J47" s="77"/>
      <c r="K47" s="103"/>
      <c r="L47" s="625"/>
      <c r="M47" s="599"/>
      <c r="N47" s="79">
        <f>N45/N46/12*1000</f>
        <v>21465.599999999999</v>
      </c>
      <c r="O47" s="77">
        <f>O45/O46/6*1000</f>
        <v>20800</v>
      </c>
      <c r="P47" s="358"/>
      <c r="Q47" s="408">
        <f>O47*P45</f>
        <v>22131.200000000001</v>
      </c>
      <c r="R47" s="625"/>
      <c r="S47" s="372"/>
      <c r="T47" s="20"/>
      <c r="U47" s="298"/>
      <c r="V47" s="65"/>
      <c r="W47" s="75"/>
      <c r="X47" s="20"/>
      <c r="Y47" s="298"/>
      <c r="Z47" s="405"/>
      <c r="AA47" s="673"/>
      <c r="AB47" s="372"/>
      <c r="AC47" s="20"/>
      <c r="AD47" s="298"/>
      <c r="AE47" s="92"/>
    </row>
    <row r="48" spans="1:31" s="1" customFormat="1">
      <c r="A48" s="38" t="s">
        <v>61</v>
      </c>
      <c r="B48" s="24" t="s">
        <v>158</v>
      </c>
      <c r="C48" s="29" t="s">
        <v>36</v>
      </c>
      <c r="D48" s="29"/>
      <c r="E48" s="29"/>
      <c r="F48" s="360"/>
      <c r="G48" s="32"/>
      <c r="H48" s="32"/>
      <c r="I48" s="32"/>
      <c r="J48" s="32"/>
      <c r="K48" s="91"/>
      <c r="L48" s="620"/>
      <c r="M48" s="347"/>
      <c r="N48" s="74">
        <f>O48+Q48</f>
        <v>35.802009249064682</v>
      </c>
      <c r="O48" s="32">
        <f>O45*0.302</f>
        <v>17.345934713694128</v>
      </c>
      <c r="P48" s="311"/>
      <c r="Q48" s="404">
        <f>Q45*0.302</f>
        <v>18.456074535370554</v>
      </c>
      <c r="R48" s="620"/>
      <c r="S48" s="372"/>
      <c r="T48" s="20"/>
      <c r="U48" s="298"/>
      <c r="V48" s="65"/>
      <c r="W48" s="75"/>
      <c r="X48" s="20"/>
      <c r="Y48" s="298"/>
      <c r="Z48" s="405"/>
      <c r="AA48" s="673"/>
      <c r="AB48" s="372"/>
      <c r="AC48" s="20"/>
      <c r="AD48" s="298"/>
      <c r="AE48" s="92"/>
    </row>
    <row r="49" spans="1:31" s="1" customFormat="1">
      <c r="A49" s="38" t="s">
        <v>67</v>
      </c>
      <c r="B49" s="24" t="s">
        <v>137</v>
      </c>
      <c r="C49" s="101" t="s">
        <v>4</v>
      </c>
      <c r="D49" s="331"/>
      <c r="E49" s="32"/>
      <c r="F49" s="360"/>
      <c r="G49" s="32"/>
      <c r="H49" s="32">
        <v>1490.1</v>
      </c>
      <c r="I49" s="32">
        <v>698.54399999999998</v>
      </c>
      <c r="J49" s="32">
        <v>791.56399999999996</v>
      </c>
      <c r="K49" s="91"/>
      <c r="L49" s="620"/>
      <c r="M49" s="347">
        <f>H49</f>
        <v>1490.1</v>
      </c>
      <c r="N49" s="74">
        <f>1080</f>
        <v>1080</v>
      </c>
      <c r="O49" s="32">
        <f>N49/2</f>
        <v>540</v>
      </c>
      <c r="P49" s="311">
        <f>P59</f>
        <v>1.0569999999999999</v>
      </c>
      <c r="Q49" s="404">
        <f>O49</f>
        <v>540</v>
      </c>
      <c r="R49" s="620"/>
      <c r="S49" s="372"/>
      <c r="T49" s="20"/>
      <c r="U49" s="298"/>
      <c r="V49" s="65"/>
      <c r="W49" s="75"/>
      <c r="X49" s="20"/>
      <c r="Y49" s="298"/>
      <c r="Z49" s="405"/>
      <c r="AA49" s="673"/>
      <c r="AB49" s="372"/>
      <c r="AC49" s="20"/>
      <c r="AD49" s="298"/>
      <c r="AE49" s="92"/>
    </row>
    <row r="50" spans="1:31" s="1" customFormat="1">
      <c r="A50" s="98" t="s">
        <v>37</v>
      </c>
      <c r="B50" s="99" t="s">
        <v>38</v>
      </c>
      <c r="C50" s="101"/>
      <c r="D50" s="101"/>
      <c r="E50" s="101"/>
      <c r="F50" s="84"/>
      <c r="G50" s="32"/>
      <c r="H50" s="32"/>
      <c r="I50" s="32"/>
      <c r="J50" s="32"/>
      <c r="K50" s="91"/>
      <c r="L50" s="620"/>
      <c r="M50" s="347"/>
      <c r="N50" s="74"/>
      <c r="O50" s="32"/>
      <c r="P50" s="311"/>
      <c r="Q50" s="404"/>
      <c r="R50" s="620"/>
      <c r="S50" s="372"/>
      <c r="T50" s="20"/>
      <c r="U50" s="298"/>
      <c r="V50" s="65"/>
      <c r="W50" s="75"/>
      <c r="X50" s="20"/>
      <c r="Y50" s="298"/>
      <c r="Z50" s="405"/>
      <c r="AA50" s="673"/>
      <c r="AB50" s="372"/>
      <c r="AC50" s="20"/>
      <c r="AD50" s="298"/>
      <c r="AE50" s="92"/>
    </row>
    <row r="51" spans="1:31" s="1" customFormat="1">
      <c r="A51" s="38" t="s">
        <v>65</v>
      </c>
      <c r="B51" s="24" t="s">
        <v>138</v>
      </c>
      <c r="C51" s="101" t="s">
        <v>4</v>
      </c>
      <c r="D51" s="101"/>
      <c r="E51" s="101"/>
      <c r="F51" s="360"/>
      <c r="G51" s="32"/>
      <c r="H51" s="32">
        <v>372.65</v>
      </c>
      <c r="I51" s="32">
        <v>181.34</v>
      </c>
      <c r="J51" s="32">
        <v>191.31</v>
      </c>
      <c r="K51" s="91"/>
      <c r="L51" s="620"/>
      <c r="M51" s="347">
        <f>M52*M53*12/1000</f>
        <v>566.14800000000014</v>
      </c>
      <c r="N51" s="74">
        <f>O51+Q51</f>
        <v>517.86962184234608</v>
      </c>
      <c r="O51" s="32">
        <f>ФОТ!C78/2</f>
        <v>250.90582453602033</v>
      </c>
      <c r="P51" s="311">
        <f>P34</f>
        <v>1.0640000000000001</v>
      </c>
      <c r="Q51" s="404">
        <f>Q52*Q53*6/1000</f>
        <v>266.96379730632572</v>
      </c>
      <c r="R51" s="620"/>
      <c r="S51" s="372"/>
      <c r="T51" s="20"/>
      <c r="U51" s="311">
        <v>1.06</v>
      </c>
      <c r="V51" s="65"/>
      <c r="W51" s="75"/>
      <c r="X51" s="20"/>
      <c r="Y51" s="311"/>
      <c r="Z51" s="405"/>
      <c r="AA51" s="673"/>
      <c r="AB51" s="372"/>
      <c r="AC51" s="20"/>
      <c r="AD51" s="311">
        <v>1.05</v>
      </c>
      <c r="AE51" s="92"/>
    </row>
    <row r="52" spans="1:31" s="1" customFormat="1">
      <c r="A52" s="38"/>
      <c r="B52" s="28" t="s">
        <v>14</v>
      </c>
      <c r="C52" s="101" t="s">
        <v>55</v>
      </c>
      <c r="D52" s="101"/>
      <c r="E52" s="101"/>
      <c r="F52" s="436"/>
      <c r="G52" s="77"/>
      <c r="H52" s="77">
        <v>0.91</v>
      </c>
      <c r="I52" s="77">
        <v>0.91</v>
      </c>
      <c r="J52" s="77">
        <v>0.91</v>
      </c>
      <c r="K52" s="103"/>
      <c r="L52" s="625"/>
      <c r="M52" s="596">
        <v>1</v>
      </c>
      <c r="N52" s="76">
        <f>ФОТ!F78</f>
        <v>1.3312122745428692</v>
      </c>
      <c r="O52" s="77">
        <f>ФОТ!F78</f>
        <v>1.3312122745428692</v>
      </c>
      <c r="P52" s="301"/>
      <c r="Q52" s="408">
        <f>O52</f>
        <v>1.3312122745428692</v>
      </c>
      <c r="R52" s="625"/>
      <c r="S52" s="372"/>
      <c r="T52" s="20"/>
      <c r="U52" s="298"/>
      <c r="V52" s="65"/>
      <c r="W52" s="75"/>
      <c r="X52" s="20"/>
      <c r="Y52" s="298"/>
      <c r="Z52" s="405"/>
      <c r="AA52" s="673"/>
      <c r="AB52" s="372"/>
      <c r="AC52" s="20"/>
      <c r="AD52" s="298"/>
      <c r="AE52" s="92"/>
    </row>
    <row r="53" spans="1:31" s="1" customFormat="1">
      <c r="A53" s="38"/>
      <c r="B53" s="28" t="s">
        <v>15</v>
      </c>
      <c r="C53" s="101" t="s">
        <v>56</v>
      </c>
      <c r="D53" s="101"/>
      <c r="E53" s="101"/>
      <c r="F53" s="436"/>
      <c r="G53" s="77"/>
      <c r="H53" s="77">
        <v>34255.21</v>
      </c>
      <c r="I53" s="77">
        <v>33338.400000000001</v>
      </c>
      <c r="J53" s="77">
        <v>35172.01</v>
      </c>
      <c r="K53" s="103"/>
      <c r="L53" s="625"/>
      <c r="M53" s="596">
        <f>42890*1.1</f>
        <v>47179.000000000007</v>
      </c>
      <c r="N53" s="76">
        <f>N51/N52/12*1000</f>
        <v>32418.422400000003</v>
      </c>
      <c r="O53" s="77">
        <f>O51/O52/6*1000</f>
        <v>31413.200000000001</v>
      </c>
      <c r="P53" s="301"/>
      <c r="Q53" s="408">
        <f>O53*P51</f>
        <v>33423.644800000002</v>
      </c>
      <c r="R53" s="625"/>
      <c r="S53" s="372"/>
      <c r="T53" s="20"/>
      <c r="U53" s="298"/>
      <c r="V53" s="65"/>
      <c r="W53" s="75"/>
      <c r="X53" s="20"/>
      <c r="Y53" s="298"/>
      <c r="Z53" s="405"/>
      <c r="AA53" s="673"/>
      <c r="AB53" s="372"/>
      <c r="AC53" s="20"/>
      <c r="AD53" s="298"/>
      <c r="AE53" s="92"/>
    </row>
    <row r="54" spans="1:31" s="1" customFormat="1">
      <c r="A54" s="38" t="s">
        <v>66</v>
      </c>
      <c r="B54" s="110" t="s">
        <v>139</v>
      </c>
      <c r="C54" s="111" t="s">
        <v>36</v>
      </c>
      <c r="D54" s="111"/>
      <c r="E54" s="111"/>
      <c r="F54" s="360"/>
      <c r="G54" s="82"/>
      <c r="H54" s="82">
        <v>112.54</v>
      </c>
      <c r="I54" s="82">
        <v>54.76</v>
      </c>
      <c r="J54" s="82">
        <v>57.78</v>
      </c>
      <c r="K54" s="112"/>
      <c r="L54" s="623"/>
      <c r="M54" s="598">
        <f>M51*0.302</f>
        <v>170.97669600000003</v>
      </c>
      <c r="N54" s="81">
        <f>O54+Q54</f>
        <v>156.39662579638849</v>
      </c>
      <c r="O54" s="82">
        <f>O51*0.302</f>
        <v>75.773559009878142</v>
      </c>
      <c r="P54" s="300"/>
      <c r="Q54" s="407">
        <f>Q51*0.302</f>
        <v>80.623066786510364</v>
      </c>
      <c r="R54" s="623"/>
      <c r="S54" s="372"/>
      <c r="T54" s="20"/>
      <c r="U54" s="298"/>
      <c r="V54" s="65"/>
      <c r="W54" s="75"/>
      <c r="X54" s="20"/>
      <c r="Y54" s="298"/>
      <c r="Z54" s="405"/>
      <c r="AA54" s="673"/>
      <c r="AB54" s="372"/>
      <c r="AC54" s="20"/>
      <c r="AD54" s="298"/>
      <c r="AE54" s="92"/>
    </row>
    <row r="55" spans="1:31" s="1" customFormat="1" ht="39" hidden="1">
      <c r="A55" s="38" t="s">
        <v>86</v>
      </c>
      <c r="B55" s="113" t="s">
        <v>157</v>
      </c>
      <c r="C55" s="101" t="s">
        <v>4</v>
      </c>
      <c r="D55" s="101"/>
      <c r="E55" s="101"/>
      <c r="F55" s="84"/>
      <c r="G55" s="32"/>
      <c r="H55" s="32"/>
      <c r="I55" s="32"/>
      <c r="J55" s="32"/>
      <c r="K55" s="91"/>
      <c r="L55" s="620"/>
      <c r="M55" s="347"/>
      <c r="N55" s="583"/>
      <c r="O55" s="478"/>
      <c r="P55" s="311">
        <f>P51</f>
        <v>1.0640000000000001</v>
      </c>
      <c r="Q55" s="480">
        <f>Q56*Q57*6/1000</f>
        <v>0</v>
      </c>
      <c r="R55" s="626"/>
      <c r="S55" s="372"/>
      <c r="T55" s="20"/>
      <c r="U55" s="298"/>
      <c r="V55" s="65"/>
      <c r="W55" s="75"/>
      <c r="X55" s="20"/>
      <c r="Y55" s="298"/>
      <c r="Z55" s="405"/>
      <c r="AA55" s="673"/>
      <c r="AB55" s="372"/>
      <c r="AC55" s="20"/>
      <c r="AD55" s="298"/>
      <c r="AE55" s="92"/>
    </row>
    <row r="56" spans="1:31" s="1" customFormat="1" hidden="1">
      <c r="A56" s="38"/>
      <c r="B56" s="28" t="s">
        <v>14</v>
      </c>
      <c r="C56" s="101" t="s">
        <v>55</v>
      </c>
      <c r="D56" s="101"/>
      <c r="E56" s="101"/>
      <c r="F56" s="84"/>
      <c r="G56" s="80"/>
      <c r="H56" s="80"/>
      <c r="I56" s="80"/>
      <c r="J56" s="80"/>
      <c r="K56" s="108"/>
      <c r="L56" s="622"/>
      <c r="M56" s="599"/>
      <c r="N56" s="584"/>
      <c r="O56" s="479"/>
      <c r="P56" s="299"/>
      <c r="Q56" s="481">
        <f>ФОТ!F86</f>
        <v>0.46023132943024414</v>
      </c>
      <c r="R56" s="627"/>
      <c r="S56" s="383"/>
      <c r="T56" s="80"/>
      <c r="U56" s="299"/>
      <c r="V56" s="108"/>
      <c r="W56" s="79"/>
      <c r="X56" s="80"/>
      <c r="Y56" s="299"/>
      <c r="Z56" s="406"/>
      <c r="AA56" s="684"/>
      <c r="AB56" s="383"/>
      <c r="AC56" s="20"/>
      <c r="AD56" s="298"/>
      <c r="AE56" s="92"/>
    </row>
    <row r="57" spans="1:31" s="1" customFormat="1" hidden="1">
      <c r="A57" s="38"/>
      <c r="B57" s="28" t="s">
        <v>15</v>
      </c>
      <c r="C57" s="101" t="s">
        <v>56</v>
      </c>
      <c r="D57" s="101"/>
      <c r="E57" s="101"/>
      <c r="F57" s="84"/>
      <c r="G57" s="80"/>
      <c r="H57" s="80"/>
      <c r="I57" s="80"/>
      <c r="J57" s="80"/>
      <c r="K57" s="108"/>
      <c r="L57" s="622"/>
      <c r="M57" s="599"/>
      <c r="N57" s="584"/>
      <c r="O57" s="479"/>
      <c r="P57" s="299"/>
      <c r="Q57" s="481">
        <f>O57*P55</f>
        <v>0</v>
      </c>
      <c r="R57" s="627"/>
      <c r="S57" s="383"/>
      <c r="T57" s="80"/>
      <c r="U57" s="299"/>
      <c r="V57" s="108"/>
      <c r="W57" s="79"/>
      <c r="X57" s="80"/>
      <c r="Y57" s="299"/>
      <c r="Z57" s="406"/>
      <c r="AA57" s="684"/>
      <c r="AB57" s="383"/>
      <c r="AC57" s="20"/>
      <c r="AD57" s="298"/>
      <c r="AE57" s="92"/>
    </row>
    <row r="58" spans="1:31" s="1" customFormat="1" hidden="1">
      <c r="A58" s="38" t="s">
        <v>69</v>
      </c>
      <c r="B58" s="24" t="s">
        <v>139</v>
      </c>
      <c r="C58" s="29" t="s">
        <v>36</v>
      </c>
      <c r="D58" s="29"/>
      <c r="E58" s="29"/>
      <c r="F58" s="84"/>
      <c r="G58" s="32"/>
      <c r="H58" s="32"/>
      <c r="I58" s="32"/>
      <c r="J58" s="32"/>
      <c r="K58" s="91"/>
      <c r="L58" s="620"/>
      <c r="M58" s="347"/>
      <c r="N58" s="583"/>
      <c r="O58" s="478"/>
      <c r="P58" s="297"/>
      <c r="Q58" s="480">
        <f>Q55*0.302</f>
        <v>0</v>
      </c>
      <c r="R58" s="626"/>
      <c r="S58" s="372"/>
      <c r="T58" s="20"/>
      <c r="U58" s="298"/>
      <c r="V58" s="65"/>
      <c r="W58" s="75"/>
      <c r="X58" s="20"/>
      <c r="Y58" s="298"/>
      <c r="Z58" s="405"/>
      <c r="AA58" s="673"/>
      <c r="AB58" s="372"/>
      <c r="AC58" s="20"/>
      <c r="AD58" s="298"/>
      <c r="AE58" s="92"/>
    </row>
    <row r="59" spans="1:31" s="1" customFormat="1" ht="15.75" thickBot="1">
      <c r="A59" s="712" t="s">
        <v>86</v>
      </c>
      <c r="B59" s="713" t="s">
        <v>140</v>
      </c>
      <c r="C59" s="714" t="s">
        <v>36</v>
      </c>
      <c r="D59" s="715"/>
      <c r="E59" s="716"/>
      <c r="F59" s="717"/>
      <c r="G59" s="715"/>
      <c r="H59" s="715">
        <v>1501.48</v>
      </c>
      <c r="I59" s="715">
        <v>703.88400000000001</v>
      </c>
      <c r="J59" s="715">
        <v>797.60400000000004</v>
      </c>
      <c r="K59" s="718"/>
      <c r="L59" s="719"/>
      <c r="M59" s="720">
        <f>H59</f>
        <v>1501.48</v>
      </c>
      <c r="N59" s="721">
        <v>1088</v>
      </c>
      <c r="O59" s="722">
        <f>N59/2</f>
        <v>544</v>
      </c>
      <c r="P59" s="723">
        <f>P38</f>
        <v>1.0569999999999999</v>
      </c>
      <c r="Q59" s="724">
        <f>O59</f>
        <v>544</v>
      </c>
      <c r="R59" s="725"/>
      <c r="S59" s="726"/>
      <c r="T59" s="727"/>
      <c r="U59" s="728"/>
      <c r="V59" s="729"/>
      <c r="W59" s="730"/>
      <c r="X59" s="727"/>
      <c r="Y59" s="728"/>
      <c r="Z59" s="731"/>
      <c r="AA59" s="732"/>
      <c r="AB59" s="372"/>
      <c r="AC59" s="20"/>
      <c r="AD59" s="298"/>
      <c r="AE59" s="92"/>
    </row>
    <row r="60" spans="1:31" s="128" customFormat="1" ht="16.5" customHeight="1">
      <c r="A60" s="747" t="s">
        <v>24</v>
      </c>
      <c r="B60" s="748" t="s">
        <v>159</v>
      </c>
      <c r="C60" s="749" t="s">
        <v>4</v>
      </c>
      <c r="D60" s="750"/>
      <c r="E60" s="750"/>
      <c r="F60" s="750"/>
      <c r="G60" s="750"/>
      <c r="H60" s="750">
        <v>4804.37</v>
      </c>
      <c r="I60" s="750">
        <v>2315.36</v>
      </c>
      <c r="J60" s="750">
        <v>2489.0100000000002</v>
      </c>
      <c r="K60" s="751"/>
      <c r="L60" s="752"/>
      <c r="M60" s="753">
        <f>M61</f>
        <v>5472.5540000000001</v>
      </c>
      <c r="N60" s="754">
        <f>O60+Q60</f>
        <v>5398.9410940713005</v>
      </c>
      <c r="O60" s="750">
        <f>O61</f>
        <v>2601.8993224440001</v>
      </c>
      <c r="P60" s="755"/>
      <c r="Q60" s="756">
        <f>Q61</f>
        <v>2797.0417716273</v>
      </c>
      <c r="R60" s="752"/>
      <c r="S60" s="757">
        <f>T60+V60</f>
        <v>5789.8764672685111</v>
      </c>
      <c r="T60" s="750">
        <f>T64+T67</f>
        <v>2797.0417716273</v>
      </c>
      <c r="U60" s="758"/>
      <c r="V60" s="751">
        <f>V64+V67</f>
        <v>2992.8346956412111</v>
      </c>
      <c r="W60" s="759">
        <f>X60+Z60</f>
        <v>5850.3392076332002</v>
      </c>
      <c r="X60" s="759">
        <f>X64+X68</f>
        <v>2852.4325732000002</v>
      </c>
      <c r="Y60" s="750"/>
      <c r="Z60" s="759">
        <f>Z64+Z68</f>
        <v>2997.9066344331995</v>
      </c>
      <c r="AA60" s="760">
        <f>W60-S60</f>
        <v>60.462740364689125</v>
      </c>
      <c r="AB60" s="377" t="e">
        <f>AC60+AE60</f>
        <v>#REF!</v>
      </c>
      <c r="AC60" s="73" t="e">
        <f>AC64+AC67</f>
        <v>#REF!</v>
      </c>
      <c r="AD60" s="292"/>
      <c r="AE60" s="73" t="e">
        <f>AE64+AE67</f>
        <v>#REF!</v>
      </c>
    </row>
    <row r="61" spans="1:31" s="128" customFormat="1" ht="14.25" customHeight="1">
      <c r="A61" s="761" t="s">
        <v>70</v>
      </c>
      <c r="B61" s="115" t="s">
        <v>71</v>
      </c>
      <c r="C61" s="61" t="s">
        <v>36</v>
      </c>
      <c r="D61" s="84"/>
      <c r="E61" s="21"/>
      <c r="F61" s="84"/>
      <c r="G61" s="84"/>
      <c r="H61" s="84">
        <v>4804.37</v>
      </c>
      <c r="I61" s="84">
        <v>2315.36</v>
      </c>
      <c r="J61" s="84">
        <v>2489.0100000000002</v>
      </c>
      <c r="K61" s="116"/>
      <c r="L61" s="628">
        <f>L64+L68</f>
        <v>3523.154</v>
      </c>
      <c r="M61" s="600">
        <f>M64</f>
        <v>5472.5540000000001</v>
      </c>
      <c r="N61" s="83">
        <f>O61+Q61</f>
        <v>5398.9410940713005</v>
      </c>
      <c r="O61" s="84">
        <f>O64</f>
        <v>2601.8993224440001</v>
      </c>
      <c r="P61" s="359"/>
      <c r="Q61" s="409">
        <f>Q64</f>
        <v>2797.0417716273</v>
      </c>
      <c r="R61" s="628"/>
      <c r="S61" s="384"/>
      <c r="T61" s="84"/>
      <c r="U61" s="302"/>
      <c r="V61" s="116"/>
      <c r="W61" s="83"/>
      <c r="X61" s="84"/>
      <c r="Y61" s="84"/>
      <c r="Z61" s="409"/>
      <c r="AA61" s="709"/>
      <c r="AB61" s="384"/>
      <c r="AC61" s="84"/>
      <c r="AD61" s="302"/>
      <c r="AE61" s="84"/>
    </row>
    <row r="62" spans="1:31" s="128" customFormat="1" ht="12.75" customHeight="1">
      <c r="A62" s="762"/>
      <c r="B62" s="117" t="s">
        <v>52</v>
      </c>
      <c r="C62" s="12" t="s">
        <v>9</v>
      </c>
      <c r="D62" s="20"/>
      <c r="E62" s="20"/>
      <c r="F62" s="84"/>
      <c r="G62" s="84"/>
      <c r="H62" s="84">
        <v>882.67</v>
      </c>
      <c r="I62" s="84">
        <v>441.33</v>
      </c>
      <c r="J62" s="84">
        <v>441.33</v>
      </c>
      <c r="K62" s="116"/>
      <c r="L62" s="628">
        <f>L66+L70</f>
        <v>666.23200000000008</v>
      </c>
      <c r="M62" s="600">
        <f>H62</f>
        <v>882.67</v>
      </c>
      <c r="N62" s="83">
        <f>O62+Q62</f>
        <v>882.66</v>
      </c>
      <c r="O62" s="84">
        <f>O66</f>
        <v>441.33</v>
      </c>
      <c r="P62" s="302"/>
      <c r="Q62" s="409">
        <f>Q66</f>
        <v>441.33</v>
      </c>
      <c r="R62" s="628"/>
      <c r="S62" s="384">
        <v>882.66</v>
      </c>
      <c r="T62" s="84"/>
      <c r="U62" s="302"/>
      <c r="V62" s="116"/>
      <c r="W62" s="83"/>
      <c r="X62" s="84"/>
      <c r="Y62" s="84"/>
      <c r="Z62" s="84"/>
      <c r="AA62" s="709"/>
      <c r="AB62" s="384"/>
      <c r="AC62" s="84"/>
      <c r="AD62" s="302"/>
      <c r="AE62" s="84"/>
    </row>
    <row r="63" spans="1:31" s="128" customFormat="1" ht="18.75" customHeight="1">
      <c r="A63" s="761"/>
      <c r="B63" s="118" t="s">
        <v>23</v>
      </c>
      <c r="C63" s="101" t="s">
        <v>30</v>
      </c>
      <c r="D63" s="86"/>
      <c r="E63" s="86"/>
      <c r="F63" s="86"/>
      <c r="G63" s="86"/>
      <c r="H63" s="86">
        <f>H62/H6</f>
        <v>1.7513293650793651</v>
      </c>
      <c r="I63" s="86">
        <f>I62/I6</f>
        <v>1.7513095238095238</v>
      </c>
      <c r="J63" s="86">
        <f>J62/J6</f>
        <v>1.7513095238095238</v>
      </c>
      <c r="K63" s="119" t="e">
        <f>K62/K6</f>
        <v>#DIV/0!</v>
      </c>
      <c r="L63" s="629"/>
      <c r="M63" s="605">
        <f>M62/M6</f>
        <v>1.7513293650793651</v>
      </c>
      <c r="N63" s="85">
        <f>N62/N6</f>
        <v>1.7513095238095238</v>
      </c>
      <c r="O63" s="86">
        <f>O62/O6</f>
        <v>1.7513095238095238</v>
      </c>
      <c r="P63" s="303"/>
      <c r="Q63" s="410">
        <f>Q62/Q6</f>
        <v>1.7513095238095238</v>
      </c>
      <c r="R63" s="629"/>
      <c r="S63" s="385"/>
      <c r="T63" s="86"/>
      <c r="U63" s="303"/>
      <c r="V63" s="119"/>
      <c r="W63" s="85"/>
      <c r="X63" s="86"/>
      <c r="Y63" s="86"/>
      <c r="Z63" s="410"/>
      <c r="AA63" s="710"/>
      <c r="AB63" s="385"/>
      <c r="AC63" s="86"/>
      <c r="AD63" s="303"/>
      <c r="AE63" s="86"/>
    </row>
    <row r="64" spans="1:31" s="128" customFormat="1" ht="14.25" customHeight="1">
      <c r="A64" s="761" t="s">
        <v>72</v>
      </c>
      <c r="B64" s="107" t="s">
        <v>51</v>
      </c>
      <c r="C64" s="101" t="s">
        <v>4</v>
      </c>
      <c r="D64" s="101"/>
      <c r="E64" s="88"/>
      <c r="F64" s="84"/>
      <c r="G64" s="84"/>
      <c r="H64" s="84">
        <v>4804.37</v>
      </c>
      <c r="I64" s="84">
        <v>2315.36</v>
      </c>
      <c r="J64" s="84">
        <v>2468.54</v>
      </c>
      <c r="K64" s="116"/>
      <c r="L64" s="628">
        <v>385.166</v>
      </c>
      <c r="M64" s="600">
        <f>M65*M66</f>
        <v>5472.5540000000001</v>
      </c>
      <c r="N64" s="83">
        <f>O64+Q64</f>
        <v>5398.9410940713005</v>
      </c>
      <c r="O64" s="84">
        <f>O65*O66</f>
        <v>2601.8993224440001</v>
      </c>
      <c r="P64" s="302"/>
      <c r="Q64" s="409">
        <f>Q65*Q66</f>
        <v>2797.0417716273</v>
      </c>
      <c r="R64" s="628"/>
      <c r="S64" s="384">
        <f>T64+V64</f>
        <v>5789.8764672685111</v>
      </c>
      <c r="T64" s="84">
        <f>T65*T66</f>
        <v>2797.0417716273</v>
      </c>
      <c r="U64" s="302"/>
      <c r="V64" s="116">
        <f>V65*V66</f>
        <v>2992.8346956412111</v>
      </c>
      <c r="W64" s="83">
        <f>X64+Z64</f>
        <v>854.21763292319974</v>
      </c>
      <c r="X64" s="409">
        <f>X65*X66</f>
        <v>416.48836319999992</v>
      </c>
      <c r="Y64" s="84"/>
      <c r="Z64" s="409">
        <f>Z65*Z66</f>
        <v>437.72926972319982</v>
      </c>
      <c r="AA64" s="709"/>
      <c r="AB64" s="384">
        <f>AC64+AE64</f>
        <v>6171.2251424121769</v>
      </c>
      <c r="AC64" s="84">
        <f>AC65*AC66</f>
        <v>2992.8346956412111</v>
      </c>
      <c r="AD64" s="302"/>
      <c r="AE64" s="84">
        <f>AE65*AE66</f>
        <v>3178.3904467709663</v>
      </c>
    </row>
    <row r="65" spans="1:31" s="1" customFormat="1">
      <c r="A65" s="761"/>
      <c r="B65" s="140" t="s">
        <v>188</v>
      </c>
      <c r="C65" s="101" t="s">
        <v>10</v>
      </c>
      <c r="D65" s="101"/>
      <c r="E65" s="77"/>
      <c r="F65" s="436"/>
      <c r="G65" s="77"/>
      <c r="H65" s="77">
        <v>5.44</v>
      </c>
      <c r="I65" s="77">
        <v>5.25</v>
      </c>
      <c r="J65" s="77">
        <v>5.64</v>
      </c>
      <c r="K65" s="103"/>
      <c r="L65" s="625">
        <f>L64/L66</f>
        <v>5.7588026852862466</v>
      </c>
      <c r="M65" s="596">
        <v>6.2</v>
      </c>
      <c r="N65" s="76">
        <f>N64/N66</f>
        <v>6.1166713050000006</v>
      </c>
      <c r="O65" s="77">
        <f>4.99626*1.18</f>
        <v>5.8955868000000002</v>
      </c>
      <c r="P65" s="311">
        <v>1.075</v>
      </c>
      <c r="Q65" s="408">
        <f>O65*P65</f>
        <v>6.33775581</v>
      </c>
      <c r="R65" s="625"/>
      <c r="S65" s="386">
        <f>S64/S66</f>
        <v>6.5595772633500005</v>
      </c>
      <c r="T65" s="77">
        <f>Q65</f>
        <v>6.33775581</v>
      </c>
      <c r="U65" s="311">
        <v>1.07</v>
      </c>
      <c r="V65" s="103">
        <f>T65*U65</f>
        <v>6.7813987167000001</v>
      </c>
      <c r="W65" s="76"/>
      <c r="X65" s="779">
        <f>5.387*1.18</f>
        <v>6.3566599999999989</v>
      </c>
      <c r="Y65" s="711">
        <v>1.0509999999999999</v>
      </c>
      <c r="Z65" s="408">
        <f>X65*Y65</f>
        <v>6.680849659999998</v>
      </c>
      <c r="AA65" s="685"/>
      <c r="AB65" s="386">
        <f>AB64/AB66</f>
        <v>6.9916220769177002</v>
      </c>
      <c r="AC65" s="77">
        <f>V65</f>
        <v>6.7813987167000001</v>
      </c>
      <c r="AD65" s="311">
        <v>1.0620000000000001</v>
      </c>
      <c r="AE65" s="77">
        <f>AC65*AD65</f>
        <v>7.2018454371354004</v>
      </c>
    </row>
    <row r="66" spans="1:31" s="1" customFormat="1">
      <c r="A66" s="761"/>
      <c r="B66" s="139" t="s">
        <v>82</v>
      </c>
      <c r="C66" s="101" t="s">
        <v>9</v>
      </c>
      <c r="D66" s="101"/>
      <c r="E66" s="77"/>
      <c r="F66" s="436"/>
      <c r="G66" s="77"/>
      <c r="H66" s="77">
        <v>882.67</v>
      </c>
      <c r="I66" s="77">
        <v>441.33</v>
      </c>
      <c r="J66" s="77">
        <v>441.33</v>
      </c>
      <c r="K66" s="103"/>
      <c r="L66" s="625">
        <v>66.882999999999996</v>
      </c>
      <c r="M66" s="596">
        <f>H66</f>
        <v>882.67</v>
      </c>
      <c r="N66" s="76">
        <f>O66+Q66</f>
        <v>882.66</v>
      </c>
      <c r="O66" s="77">
        <f>J66</f>
        <v>441.33</v>
      </c>
      <c r="P66" s="358"/>
      <c r="Q66" s="408">
        <f>O66</f>
        <v>441.33</v>
      </c>
      <c r="R66" s="625"/>
      <c r="S66" s="386">
        <f>T66+V66</f>
        <v>882.66</v>
      </c>
      <c r="T66" s="77">
        <f>Q66</f>
        <v>441.33</v>
      </c>
      <c r="U66" s="301"/>
      <c r="V66" s="103">
        <f>T66</f>
        <v>441.33</v>
      </c>
      <c r="W66" s="76">
        <f>X66+Z66</f>
        <v>131.04</v>
      </c>
      <c r="X66" s="77">
        <f>X67*X6</f>
        <v>65.52</v>
      </c>
      <c r="Y66" s="77"/>
      <c r="Z66" s="77">
        <f>Z67*Z6</f>
        <v>65.52</v>
      </c>
      <c r="AA66" s="685"/>
      <c r="AB66" s="386">
        <f>AC66+AE66</f>
        <v>882.66</v>
      </c>
      <c r="AC66" s="77">
        <f>V66</f>
        <v>441.33</v>
      </c>
      <c r="AD66" s="301"/>
      <c r="AE66" s="92">
        <f>AC66</f>
        <v>441.33</v>
      </c>
    </row>
    <row r="67" spans="1:31" s="1" customFormat="1">
      <c r="A67" s="763"/>
      <c r="B67" s="107" t="s">
        <v>334</v>
      </c>
      <c r="C67" s="101"/>
      <c r="D67" s="341"/>
      <c r="E67" s="21"/>
      <c r="F67" s="84"/>
      <c r="G67" s="20"/>
      <c r="H67" s="20"/>
      <c r="I67" s="20"/>
      <c r="J67" s="20"/>
      <c r="K67" s="65"/>
      <c r="L67" s="621">
        <f>L66/L6</f>
        <v>0.26195648764331431</v>
      </c>
      <c r="M67" s="589"/>
      <c r="N67" s="75"/>
      <c r="O67" s="20"/>
      <c r="P67" s="298"/>
      <c r="Q67" s="405"/>
      <c r="R67" s="621"/>
      <c r="S67" s="372"/>
      <c r="T67" s="20"/>
      <c r="U67" s="298"/>
      <c r="V67" s="65"/>
      <c r="W67" s="20">
        <v>0.26</v>
      </c>
      <c r="X67" s="20">
        <v>0.26</v>
      </c>
      <c r="Y67" s="298"/>
      <c r="Z67" s="405">
        <v>0.26</v>
      </c>
      <c r="AA67" s="673"/>
      <c r="AB67" s="372" t="e">
        <f>AC67+AE67</f>
        <v>#REF!</v>
      </c>
      <c r="AC67" s="20" t="e">
        <f>#REF!*#REF!</f>
        <v>#REF!</v>
      </c>
      <c r="AD67" s="298"/>
      <c r="AE67" s="84" t="e">
        <f>#REF!*#REF!</f>
        <v>#REF!</v>
      </c>
    </row>
    <row r="68" spans="1:31" s="1" customFormat="1">
      <c r="A68" s="761" t="s">
        <v>335</v>
      </c>
      <c r="B68" s="107" t="s">
        <v>175</v>
      </c>
      <c r="C68" s="101" t="s">
        <v>4</v>
      </c>
      <c r="D68" s="341"/>
      <c r="E68" s="21"/>
      <c r="F68" s="84"/>
      <c r="G68" s="20"/>
      <c r="H68" s="20"/>
      <c r="I68" s="20"/>
      <c r="J68" s="20"/>
      <c r="K68" s="65"/>
      <c r="L68" s="621">
        <v>3137.9879999999998</v>
      </c>
      <c r="M68" s="589"/>
      <c r="N68" s="75"/>
      <c r="O68" s="20"/>
      <c r="P68" s="298"/>
      <c r="Q68" s="405"/>
      <c r="R68" s="621"/>
      <c r="S68" s="372"/>
      <c r="T68" s="20"/>
      <c r="U68" s="298"/>
      <c r="V68" s="65"/>
      <c r="W68" s="83">
        <f>X68+Z68</f>
        <v>4996.1215747099995</v>
      </c>
      <c r="X68" s="20">
        <f>X69*X70</f>
        <v>2435.9442100000001</v>
      </c>
      <c r="Y68" s="298"/>
      <c r="Z68" s="20">
        <f>Z69*Z70</f>
        <v>2560.1773647099999</v>
      </c>
      <c r="AA68" s="673"/>
      <c r="AB68" s="372"/>
      <c r="AC68" s="20"/>
      <c r="AD68" s="298"/>
      <c r="AE68" s="84"/>
    </row>
    <row r="69" spans="1:31" s="1" customFormat="1">
      <c r="A69" s="761"/>
      <c r="B69" s="140" t="s">
        <v>178</v>
      </c>
      <c r="C69" s="101" t="s">
        <v>10</v>
      </c>
      <c r="D69" s="341"/>
      <c r="E69" s="21"/>
      <c r="F69" s="84"/>
      <c r="G69" s="20"/>
      <c r="H69" s="20"/>
      <c r="I69" s="20"/>
      <c r="J69" s="20"/>
      <c r="K69" s="65"/>
      <c r="L69" s="621">
        <f>L68/L70</f>
        <v>5.235660691850657</v>
      </c>
      <c r="M69" s="589"/>
      <c r="N69" s="75"/>
      <c r="O69" s="20"/>
      <c r="P69" s="298"/>
      <c r="Q69" s="405"/>
      <c r="R69" s="621"/>
      <c r="S69" s="372"/>
      <c r="T69" s="20"/>
      <c r="U69" s="298"/>
      <c r="V69" s="65"/>
      <c r="W69" s="75">
        <f>W68/W70</f>
        <v>5.9548528899999997</v>
      </c>
      <c r="X69" s="20">
        <f>4.921*1.18</f>
        <v>5.8067799999999998</v>
      </c>
      <c r="Y69" s="778">
        <v>1.0509999999999999</v>
      </c>
      <c r="Z69" s="405">
        <f>X69*Y69</f>
        <v>6.1029257799999996</v>
      </c>
      <c r="AA69" s="673"/>
      <c r="AB69" s="372"/>
      <c r="AC69" s="20"/>
      <c r="AD69" s="298"/>
      <c r="AE69" s="84"/>
    </row>
    <row r="70" spans="1:31" s="1" customFormat="1">
      <c r="A70" s="761"/>
      <c r="B70" s="139" t="s">
        <v>82</v>
      </c>
      <c r="C70" s="101" t="s">
        <v>9</v>
      </c>
      <c r="D70" s="341"/>
      <c r="E70" s="21"/>
      <c r="F70" s="84"/>
      <c r="G70" s="20"/>
      <c r="H70" s="20"/>
      <c r="I70" s="20"/>
      <c r="J70" s="20"/>
      <c r="K70" s="65"/>
      <c r="L70" s="621">
        <v>599.34900000000005</v>
      </c>
      <c r="M70" s="589"/>
      <c r="N70" s="75"/>
      <c r="O70" s="20"/>
      <c r="P70" s="298"/>
      <c r="Q70" s="405"/>
      <c r="R70" s="621"/>
      <c r="S70" s="372"/>
      <c r="T70" s="20"/>
      <c r="U70" s="298"/>
      <c r="V70" s="65"/>
      <c r="W70" s="32">
        <v>839</v>
      </c>
      <c r="X70" s="32">
        <v>419.5</v>
      </c>
      <c r="Y70" s="32">
        <v>0</v>
      </c>
      <c r="Z70" s="32">
        <v>419.5</v>
      </c>
      <c r="AA70" s="673"/>
      <c r="AB70" s="372"/>
      <c r="AC70" s="20"/>
      <c r="AD70" s="298"/>
      <c r="AE70" s="84"/>
    </row>
    <row r="71" spans="1:31" s="1" customFormat="1" ht="15.75" thickBot="1">
      <c r="A71" s="764"/>
      <c r="B71" s="765" t="s">
        <v>336</v>
      </c>
      <c r="C71" s="766"/>
      <c r="D71" s="767"/>
      <c r="E71" s="768"/>
      <c r="F71" s="769"/>
      <c r="G71" s="770"/>
      <c r="H71" s="770"/>
      <c r="I71" s="770"/>
      <c r="J71" s="770"/>
      <c r="K71" s="771"/>
      <c r="L71" s="642">
        <f>L70/L6</f>
        <v>2.3474329637207183</v>
      </c>
      <c r="M71" s="772"/>
      <c r="N71" s="773"/>
      <c r="O71" s="770"/>
      <c r="P71" s="774"/>
      <c r="Q71" s="775"/>
      <c r="R71" s="642"/>
      <c r="S71" s="776"/>
      <c r="T71" s="770"/>
      <c r="U71" s="774"/>
      <c r="V71" s="771"/>
      <c r="W71" s="770">
        <f>W70/W6</f>
        <v>1.6646825396825398</v>
      </c>
      <c r="X71" s="770">
        <f>X70/X6</f>
        <v>1.6646825396825398</v>
      </c>
      <c r="Y71" s="774"/>
      <c r="Z71" s="770">
        <f>Z70/Z6</f>
        <v>1.6646825396825398</v>
      </c>
      <c r="AA71" s="777"/>
      <c r="AB71" s="372"/>
      <c r="AC71" s="20"/>
      <c r="AD71" s="298"/>
      <c r="AE71" s="84"/>
    </row>
    <row r="72" spans="1:31" s="128" customFormat="1">
      <c r="A72" s="733" t="s">
        <v>25</v>
      </c>
      <c r="B72" s="734" t="s">
        <v>44</v>
      </c>
      <c r="C72" s="735" t="s">
        <v>4</v>
      </c>
      <c r="D72" s="736"/>
      <c r="E72" s="736"/>
      <c r="F72" s="736"/>
      <c r="G72" s="736"/>
      <c r="H72" s="736">
        <f>H74+H75+H77</f>
        <v>182.91</v>
      </c>
      <c r="I72" s="736">
        <f>I74+I75+I77</f>
        <v>88.86999999999999</v>
      </c>
      <c r="J72" s="736">
        <f>J74+J75+J77</f>
        <v>94.019999999999982</v>
      </c>
      <c r="K72" s="737"/>
      <c r="L72" s="738"/>
      <c r="M72" s="739">
        <f>M74+M75</f>
        <v>230.58999999999997</v>
      </c>
      <c r="N72" s="740">
        <f>O72+Q72</f>
        <v>198.85109660635513</v>
      </c>
      <c r="O72" s="736">
        <f>O74+O75+O76</f>
        <v>99.425548303177564</v>
      </c>
      <c r="P72" s="741"/>
      <c r="Q72" s="742">
        <f>Q74+Q75+Q76</f>
        <v>99.425548303177564</v>
      </c>
      <c r="R72" s="738"/>
      <c r="S72" s="743">
        <f>T72+V72</f>
        <v>211.39753179848225</v>
      </c>
      <c r="T72" s="736">
        <f>T74+T75+T76+T77</f>
        <v>104.36946680317757</v>
      </c>
      <c r="U72" s="741"/>
      <c r="V72" s="737">
        <f>V74+V75+V76+V77</f>
        <v>107.02806499530467</v>
      </c>
      <c r="W72" s="744">
        <f>X72+Z72</f>
        <v>189.482</v>
      </c>
      <c r="X72" s="746">
        <f>X74+X75</f>
        <v>98.081000000000003</v>
      </c>
      <c r="Y72" s="745"/>
      <c r="Z72" s="746">
        <f>Z74+Z75</f>
        <v>91.400999999999996</v>
      </c>
      <c r="AA72" s="760">
        <f>W72-S72</f>
        <v>-21.915531798482249</v>
      </c>
      <c r="AB72" s="377">
        <f>AC72+AE72</f>
        <v>228.22246923589333</v>
      </c>
      <c r="AC72" s="73">
        <f>AC74+AC75+AC76+AC77</f>
        <v>112.52139289905466</v>
      </c>
      <c r="AD72" s="292"/>
      <c r="AE72" s="73">
        <f>AE74+AE75+AE76+AE77</f>
        <v>115.70107633683867</v>
      </c>
    </row>
    <row r="73" spans="1:31" s="1" customFormat="1">
      <c r="A73" s="38"/>
      <c r="B73" s="24" t="s">
        <v>29</v>
      </c>
      <c r="C73" s="101" t="s">
        <v>4</v>
      </c>
      <c r="D73" s="101"/>
      <c r="E73" s="101"/>
      <c r="F73" s="84"/>
      <c r="G73" s="88"/>
      <c r="H73" s="20"/>
      <c r="I73" s="88"/>
      <c r="J73" s="88"/>
      <c r="K73" s="120"/>
      <c r="L73" s="630"/>
      <c r="M73" s="601"/>
      <c r="N73" s="87"/>
      <c r="O73" s="88"/>
      <c r="P73" s="304"/>
      <c r="Q73" s="411"/>
      <c r="R73" s="630"/>
      <c r="S73" s="382"/>
      <c r="T73" s="88"/>
      <c r="U73" s="304"/>
      <c r="V73" s="120"/>
      <c r="W73" s="703"/>
      <c r="X73" s="704"/>
      <c r="Y73" s="704"/>
      <c r="Z73" s="705"/>
      <c r="AA73" s="683"/>
      <c r="AB73" s="382"/>
      <c r="AC73" s="88"/>
      <c r="AD73" s="304"/>
      <c r="AE73" s="93"/>
    </row>
    <row r="74" spans="1:31" s="1" customFormat="1">
      <c r="A74" s="38" t="s">
        <v>146</v>
      </c>
      <c r="B74" s="24" t="s">
        <v>95</v>
      </c>
      <c r="C74" s="101" t="s">
        <v>4</v>
      </c>
      <c r="D74" s="118"/>
      <c r="E74" s="77"/>
      <c r="F74" s="162"/>
      <c r="G74" s="23"/>
      <c r="H74" s="23">
        <v>53.984999999999999</v>
      </c>
      <c r="I74" s="23">
        <v>26.99</v>
      </c>
      <c r="J74" s="23">
        <v>26.99</v>
      </c>
      <c r="K74" s="160"/>
      <c r="L74" s="631"/>
      <c r="M74" s="602">
        <v>72.95</v>
      </c>
      <c r="N74" s="161">
        <f>O74+Q74</f>
        <v>65.921187000000003</v>
      </c>
      <c r="O74" s="23">
        <f>(O11*93+(O13+O15)*414*1.15)/1000</f>
        <v>32.960593500000002</v>
      </c>
      <c r="P74" s="305"/>
      <c r="Q74" s="412">
        <f>O74</f>
        <v>32.960593500000002</v>
      </c>
      <c r="R74" s="631"/>
      <c r="S74" s="387">
        <f>T74+V74</f>
        <v>75.809024000000008</v>
      </c>
      <c r="T74" s="23">
        <f>(T11*107+(T13+T15)*360*1.52)/1000</f>
        <v>37.904512000000004</v>
      </c>
      <c r="U74" s="305"/>
      <c r="V74" s="160">
        <f>T74</f>
        <v>37.904512000000004</v>
      </c>
      <c r="W74" s="697">
        <v>75.81</v>
      </c>
      <c r="X74" s="706">
        <f>W74/2+3.34</f>
        <v>41.245000000000005</v>
      </c>
      <c r="Y74" s="706"/>
      <c r="Z74" s="706">
        <f>W74-X74</f>
        <v>34.564999999999998</v>
      </c>
      <c r="AA74" s="686"/>
      <c r="AB74" s="387"/>
      <c r="AC74" s="23">
        <f>(AC11*122+(AC13+AC15)*414*1.15*1.15*1.15)/1000</f>
        <v>43.39783990374999</v>
      </c>
      <c r="AD74" s="305"/>
      <c r="AE74" s="23">
        <f>AC74</f>
        <v>43.39783990374999</v>
      </c>
    </row>
    <row r="75" spans="1:31" s="1" customFormat="1">
      <c r="A75" s="38" t="s">
        <v>73</v>
      </c>
      <c r="B75" s="24" t="s">
        <v>333</v>
      </c>
      <c r="C75" s="101" t="s">
        <v>4</v>
      </c>
      <c r="D75" s="101"/>
      <c r="E75" s="140"/>
      <c r="F75" s="162"/>
      <c r="G75" s="23"/>
      <c r="H75" s="23">
        <v>127.77500000000001</v>
      </c>
      <c r="I75" s="23">
        <v>61.31</v>
      </c>
      <c r="J75" s="23">
        <v>66.459999999999994</v>
      </c>
      <c r="K75" s="160"/>
      <c r="L75" s="631">
        <v>109.3</v>
      </c>
      <c r="M75" s="602">
        <v>157.63999999999999</v>
      </c>
      <c r="N75" s="161">
        <f>O75+Q75</f>
        <v>132.92990960635512</v>
      </c>
      <c r="O75" s="23">
        <f>J92*O9*0.01</f>
        <v>66.464954803177562</v>
      </c>
      <c r="P75" s="305"/>
      <c r="Q75" s="412">
        <f>J92*Q9*0.01</f>
        <v>66.464954803177562</v>
      </c>
      <c r="R75" s="631"/>
      <c r="S75" s="387">
        <f>T75+V75</f>
        <v>135.58850779848223</v>
      </c>
      <c r="T75" s="23">
        <f>Q75</f>
        <v>66.464954803177562</v>
      </c>
      <c r="U75" s="305"/>
      <c r="V75" s="160">
        <f>T92*1.04*V9*0.01</f>
        <v>69.123552995304664</v>
      </c>
      <c r="W75" s="697">
        <f>1.04*L75</f>
        <v>113.672</v>
      </c>
      <c r="X75" s="706">
        <f>W75/2</f>
        <v>56.835999999999999</v>
      </c>
      <c r="Y75" s="698"/>
      <c r="Z75" s="699">
        <f>W75-X75</f>
        <v>56.835999999999999</v>
      </c>
      <c r="AA75" s="686"/>
      <c r="AB75" s="387"/>
      <c r="AC75" s="23">
        <f>V75</f>
        <v>69.123552995304664</v>
      </c>
      <c r="AD75" s="305"/>
      <c r="AE75" s="162">
        <f>AC92*1.04*AE9*0.01</f>
        <v>72.303236433088685</v>
      </c>
    </row>
    <row r="76" spans="1:31" s="1" customFormat="1">
      <c r="A76" s="38" t="s">
        <v>74</v>
      </c>
      <c r="B76" s="24" t="s">
        <v>90</v>
      </c>
      <c r="C76" s="101" t="s">
        <v>4</v>
      </c>
      <c r="D76" s="101"/>
      <c r="E76" s="101"/>
      <c r="F76" s="162"/>
      <c r="G76" s="23"/>
      <c r="H76" s="23"/>
      <c r="I76" s="23"/>
      <c r="J76" s="23"/>
      <c r="K76" s="160"/>
      <c r="L76" s="631"/>
      <c r="M76" s="602"/>
      <c r="N76" s="161"/>
      <c r="O76" s="23"/>
      <c r="P76" s="305"/>
      <c r="Q76" s="412"/>
      <c r="R76" s="631"/>
      <c r="S76" s="387"/>
      <c r="T76" s="23"/>
      <c r="U76" s="305"/>
      <c r="V76" s="160"/>
      <c r="W76" s="161"/>
      <c r="X76" s="23"/>
      <c r="Y76" s="305"/>
      <c r="Z76" s="412"/>
      <c r="AA76" s="686"/>
      <c r="AB76" s="387"/>
      <c r="AC76" s="23"/>
      <c r="AD76" s="305"/>
      <c r="AE76" s="23"/>
    </row>
    <row r="77" spans="1:31" s="1" customFormat="1">
      <c r="A77" s="38" t="s">
        <v>145</v>
      </c>
      <c r="B77" s="24" t="s">
        <v>294</v>
      </c>
      <c r="C77" s="101" t="s">
        <v>4</v>
      </c>
      <c r="D77" s="101"/>
      <c r="E77" s="101"/>
      <c r="F77" s="162"/>
      <c r="G77" s="23"/>
      <c r="H77" s="23">
        <v>1.1499999999999999</v>
      </c>
      <c r="I77" s="23">
        <v>0.56999999999999995</v>
      </c>
      <c r="J77" s="23">
        <v>0.56999999999999995</v>
      </c>
      <c r="K77" s="160"/>
      <c r="L77" s="631"/>
      <c r="M77" s="602"/>
      <c r="N77" s="161"/>
      <c r="O77" s="23"/>
      <c r="P77" s="305"/>
      <c r="Q77" s="412"/>
      <c r="R77" s="631"/>
      <c r="S77" s="387"/>
      <c r="T77" s="23"/>
      <c r="U77" s="305"/>
      <c r="V77" s="160"/>
      <c r="W77" s="700"/>
      <c r="X77" s="701"/>
      <c r="Y77" s="701"/>
      <c r="Z77" s="702"/>
      <c r="AA77" s="686"/>
      <c r="AB77" s="387"/>
      <c r="AC77" s="23"/>
      <c r="AD77" s="305"/>
      <c r="AE77" s="23"/>
    </row>
    <row r="78" spans="1:31" s="1" customFormat="1" hidden="1">
      <c r="A78" s="38" t="s">
        <v>187</v>
      </c>
      <c r="B78" s="24" t="s">
        <v>62</v>
      </c>
      <c r="C78" s="29"/>
      <c r="D78" s="101"/>
      <c r="E78" s="101"/>
      <c r="F78" s="84"/>
      <c r="G78" s="23"/>
      <c r="H78" s="23"/>
      <c r="I78" s="23"/>
      <c r="J78" s="23"/>
      <c r="K78" s="160"/>
      <c r="L78" s="631"/>
      <c r="M78" s="602"/>
      <c r="N78" s="161"/>
      <c r="O78" s="23"/>
      <c r="P78" s="305"/>
      <c r="Q78" s="412"/>
      <c r="R78" s="631"/>
      <c r="S78" s="387"/>
      <c r="T78" s="23"/>
      <c r="U78" s="305"/>
      <c r="V78" s="160"/>
      <c r="W78" s="161"/>
      <c r="X78" s="23"/>
      <c r="Y78" s="305"/>
      <c r="Z78" s="412"/>
      <c r="AA78" s="686"/>
      <c r="AB78" s="387"/>
      <c r="AC78" s="23"/>
      <c r="AD78" s="305"/>
      <c r="AE78" s="23"/>
    </row>
    <row r="79" spans="1:31" s="1" customFormat="1" hidden="1">
      <c r="A79" s="38"/>
      <c r="B79" s="117" t="s">
        <v>8</v>
      </c>
      <c r="C79" s="29" t="s">
        <v>31</v>
      </c>
      <c r="D79" s="101"/>
      <c r="E79" s="101"/>
      <c r="F79" s="84"/>
      <c r="G79" s="23"/>
      <c r="H79" s="23"/>
      <c r="I79" s="23"/>
      <c r="J79" s="23"/>
      <c r="K79" s="160"/>
      <c r="L79" s="631"/>
      <c r="M79" s="602"/>
      <c r="N79" s="161"/>
      <c r="O79" s="23"/>
      <c r="P79" s="305"/>
      <c r="Q79" s="412"/>
      <c r="R79" s="631"/>
      <c r="S79" s="387"/>
      <c r="T79" s="23"/>
      <c r="U79" s="305"/>
      <c r="V79" s="160"/>
      <c r="W79" s="161"/>
      <c r="X79" s="23"/>
      <c r="Y79" s="305"/>
      <c r="Z79" s="412"/>
      <c r="AA79" s="686"/>
      <c r="AB79" s="387"/>
      <c r="AC79" s="23"/>
      <c r="AD79" s="305"/>
      <c r="AE79" s="23"/>
    </row>
    <row r="80" spans="1:31" s="1" customFormat="1" hidden="1">
      <c r="A80" s="38"/>
      <c r="B80" s="117" t="s">
        <v>63</v>
      </c>
      <c r="C80" s="29" t="s">
        <v>12</v>
      </c>
      <c r="D80" s="101"/>
      <c r="E80" s="101"/>
      <c r="F80" s="84"/>
      <c r="G80" s="23"/>
      <c r="H80" s="23"/>
      <c r="I80" s="23"/>
      <c r="J80" s="23"/>
      <c r="K80" s="160"/>
      <c r="L80" s="631"/>
      <c r="M80" s="602"/>
      <c r="N80" s="161"/>
      <c r="O80" s="23"/>
      <c r="P80" s="305"/>
      <c r="Q80" s="412"/>
      <c r="R80" s="631"/>
      <c r="S80" s="387"/>
      <c r="T80" s="23"/>
      <c r="U80" s="305"/>
      <c r="V80" s="160"/>
      <c r="W80" s="161"/>
      <c r="X80" s="23"/>
      <c r="Y80" s="305"/>
      <c r="Z80" s="412"/>
      <c r="AA80" s="686"/>
      <c r="AB80" s="387"/>
      <c r="AC80" s="23"/>
      <c r="AD80" s="305"/>
      <c r="AE80" s="23"/>
    </row>
    <row r="81" spans="1:32" s="2" customFormat="1" ht="20.25" customHeight="1">
      <c r="A81" s="814" t="s">
        <v>27</v>
      </c>
      <c r="B81" s="814"/>
      <c r="C81" s="138" t="s">
        <v>4</v>
      </c>
      <c r="D81" s="135"/>
      <c r="E81" s="135"/>
      <c r="F81" s="435"/>
      <c r="G81" s="105"/>
      <c r="H81" s="105">
        <v>0</v>
      </c>
      <c r="I81" s="105">
        <v>0</v>
      </c>
      <c r="J81" s="105">
        <v>0</v>
      </c>
      <c r="K81" s="106"/>
      <c r="L81" s="632"/>
      <c r="M81" s="591">
        <v>0</v>
      </c>
      <c r="N81" s="78">
        <v>0</v>
      </c>
      <c r="O81" s="105">
        <v>0</v>
      </c>
      <c r="P81" s="306"/>
      <c r="Q81" s="413">
        <f>O81</f>
        <v>0</v>
      </c>
      <c r="R81" s="632"/>
      <c r="S81" s="374">
        <f>T81+V81</f>
        <v>0</v>
      </c>
      <c r="T81" s="105">
        <f>Q81</f>
        <v>0</v>
      </c>
      <c r="U81" s="306"/>
      <c r="V81" s="106">
        <f>T81</f>
        <v>0</v>
      </c>
      <c r="W81" s="78">
        <v>0</v>
      </c>
      <c r="X81" s="105">
        <v>0</v>
      </c>
      <c r="Y81" s="306"/>
      <c r="Z81" s="413">
        <v>0</v>
      </c>
      <c r="AA81" s="675"/>
      <c r="AB81" s="374">
        <f>AC81+AE81</f>
        <v>0</v>
      </c>
      <c r="AC81" s="105">
        <f>V81</f>
        <v>0</v>
      </c>
      <c r="AD81" s="306"/>
      <c r="AE81" s="105">
        <f>AC81</f>
        <v>0</v>
      </c>
    </row>
    <row r="82" spans="1:32" s="3" customFormat="1" ht="15.75" thickBot="1">
      <c r="A82" s="814" t="s">
        <v>28</v>
      </c>
      <c r="B82" s="814"/>
      <c r="C82" s="138" t="s">
        <v>4</v>
      </c>
      <c r="D82" s="105"/>
      <c r="E82" s="105"/>
      <c r="F82" s="435"/>
      <c r="G82" s="105"/>
      <c r="H82" s="105">
        <v>0</v>
      </c>
      <c r="I82" s="105">
        <v>0</v>
      </c>
      <c r="J82" s="105">
        <v>0</v>
      </c>
      <c r="K82" s="106"/>
      <c r="L82" s="632"/>
      <c r="M82" s="591">
        <v>0</v>
      </c>
      <c r="N82" s="78">
        <v>0</v>
      </c>
      <c r="O82" s="105">
        <v>0</v>
      </c>
      <c r="P82" s="306"/>
      <c r="Q82" s="413">
        <v>0</v>
      </c>
      <c r="R82" s="632"/>
      <c r="S82" s="374">
        <v>0</v>
      </c>
      <c r="T82" s="105">
        <v>0</v>
      </c>
      <c r="U82" s="306"/>
      <c r="V82" s="106">
        <v>0</v>
      </c>
      <c r="W82" s="78">
        <v>0</v>
      </c>
      <c r="X82" s="105">
        <v>0</v>
      </c>
      <c r="Y82" s="306"/>
      <c r="Z82" s="413">
        <v>0</v>
      </c>
      <c r="AA82" s="675"/>
      <c r="AB82" s="374">
        <v>0</v>
      </c>
      <c r="AC82" s="105">
        <v>0</v>
      </c>
      <c r="AD82" s="306"/>
      <c r="AE82" s="105">
        <v>0</v>
      </c>
    </row>
    <row r="83" spans="1:32" s="7" customFormat="1" ht="15.75" hidden="1" thickBot="1">
      <c r="A83" s="31"/>
      <c r="B83" s="122" t="s">
        <v>35</v>
      </c>
      <c r="C83" s="31" t="s">
        <v>36</v>
      </c>
      <c r="D83" s="31"/>
      <c r="E83" s="31"/>
      <c r="F83" s="434"/>
      <c r="G83" s="14"/>
      <c r="H83" s="14"/>
      <c r="I83" s="14"/>
      <c r="J83" s="14"/>
      <c r="K83" s="64"/>
      <c r="L83" s="633"/>
      <c r="M83" s="603"/>
      <c r="N83" s="89"/>
      <c r="O83" s="14"/>
      <c r="P83" s="307"/>
      <c r="Q83" s="414"/>
      <c r="R83" s="633"/>
      <c r="S83" s="388"/>
      <c r="T83" s="14"/>
      <c r="U83" s="307"/>
      <c r="V83" s="64"/>
      <c r="W83" s="89"/>
      <c r="X83" s="14"/>
      <c r="Y83" s="307"/>
      <c r="Z83" s="414"/>
      <c r="AA83" s="687"/>
      <c r="AB83" s="388"/>
      <c r="AC83" s="14"/>
      <c r="AD83" s="307"/>
      <c r="AE83" s="14"/>
    </row>
    <row r="84" spans="1:32" s="7" customFormat="1" ht="15.75" hidden="1" thickBot="1">
      <c r="A84" s="31"/>
      <c r="B84" s="122" t="s">
        <v>39</v>
      </c>
      <c r="C84" s="31" t="s">
        <v>36</v>
      </c>
      <c r="D84" s="31"/>
      <c r="E84" s="31"/>
      <c r="F84" s="434"/>
      <c r="G84" s="14"/>
      <c r="H84" s="14"/>
      <c r="I84" s="14"/>
      <c r="J84" s="14"/>
      <c r="K84" s="64"/>
      <c r="L84" s="633"/>
      <c r="M84" s="603"/>
      <c r="N84" s="89"/>
      <c r="O84" s="14"/>
      <c r="P84" s="307"/>
      <c r="Q84" s="414"/>
      <c r="R84" s="633"/>
      <c r="S84" s="388"/>
      <c r="T84" s="14"/>
      <c r="U84" s="307"/>
      <c r="V84" s="64"/>
      <c r="W84" s="89"/>
      <c r="X84" s="14"/>
      <c r="Y84" s="307"/>
      <c r="Z84" s="414"/>
      <c r="AA84" s="687"/>
      <c r="AB84" s="388"/>
      <c r="AC84" s="14"/>
      <c r="AD84" s="307"/>
      <c r="AE84" s="14"/>
    </row>
    <row r="85" spans="1:32" s="7" customFormat="1" ht="15.75" hidden="1" thickBot="1">
      <c r="A85" s="31"/>
      <c r="B85" s="122" t="s">
        <v>40</v>
      </c>
      <c r="C85" s="31" t="s">
        <v>36</v>
      </c>
      <c r="D85" s="31"/>
      <c r="E85" s="31"/>
      <c r="F85" s="434"/>
      <c r="G85" s="14"/>
      <c r="H85" s="14"/>
      <c r="I85" s="14"/>
      <c r="J85" s="14"/>
      <c r="K85" s="64"/>
      <c r="L85" s="633"/>
      <c r="M85" s="603"/>
      <c r="N85" s="89"/>
      <c r="O85" s="14"/>
      <c r="P85" s="307"/>
      <c r="Q85" s="414"/>
      <c r="R85" s="633"/>
      <c r="S85" s="388"/>
      <c r="T85" s="14"/>
      <c r="U85" s="307"/>
      <c r="V85" s="64"/>
      <c r="W85" s="89"/>
      <c r="X85" s="14"/>
      <c r="Y85" s="307"/>
      <c r="Z85" s="414"/>
      <c r="AA85" s="687"/>
      <c r="AB85" s="388"/>
      <c r="AC85" s="14"/>
      <c r="AD85" s="307"/>
      <c r="AE85" s="14"/>
    </row>
    <row r="86" spans="1:32" s="7" customFormat="1" ht="15.75" hidden="1" thickBot="1">
      <c r="A86" s="31"/>
      <c r="B86" s="141" t="s">
        <v>41</v>
      </c>
      <c r="C86" s="142">
        <v>0.03</v>
      </c>
      <c r="D86" s="142"/>
      <c r="E86" s="142"/>
      <c r="F86" s="434"/>
      <c r="G86" s="14"/>
      <c r="H86" s="14"/>
      <c r="I86" s="14"/>
      <c r="J86" s="14"/>
      <c r="K86" s="64"/>
      <c r="L86" s="633"/>
      <c r="M86" s="603"/>
      <c r="N86" s="581"/>
      <c r="O86" s="143"/>
      <c r="P86" s="308"/>
      <c r="Q86" s="415"/>
      <c r="R86" s="624"/>
      <c r="S86" s="389"/>
      <c r="T86" s="143"/>
      <c r="U86" s="308"/>
      <c r="V86" s="538"/>
      <c r="W86" s="581"/>
      <c r="X86" s="143"/>
      <c r="Y86" s="308"/>
      <c r="Z86" s="415"/>
      <c r="AA86" s="688"/>
      <c r="AB86" s="389"/>
      <c r="AC86" s="143"/>
      <c r="AD86" s="308"/>
      <c r="AE86" s="143"/>
    </row>
    <row r="87" spans="1:32" s="7" customFormat="1" ht="15.75" hidden="1" thickBot="1">
      <c r="A87" s="31"/>
      <c r="B87" s="141" t="s">
        <v>134</v>
      </c>
      <c r="C87" s="142">
        <v>0.2</v>
      </c>
      <c r="D87" s="142"/>
      <c r="E87" s="142"/>
      <c r="F87" s="434"/>
      <c r="G87" s="14"/>
      <c r="H87" s="14"/>
      <c r="I87" s="14"/>
      <c r="J87" s="14"/>
      <c r="K87" s="64"/>
      <c r="L87" s="633"/>
      <c r="M87" s="603"/>
      <c r="N87" s="581"/>
      <c r="O87" s="143"/>
      <c r="P87" s="308"/>
      <c r="Q87" s="415"/>
      <c r="R87" s="624"/>
      <c r="S87" s="389"/>
      <c r="T87" s="143"/>
      <c r="U87" s="308"/>
      <c r="V87" s="538"/>
      <c r="W87" s="581"/>
      <c r="X87" s="143"/>
      <c r="Y87" s="308"/>
      <c r="Z87" s="415"/>
      <c r="AA87" s="688"/>
      <c r="AB87" s="389"/>
      <c r="AC87" s="143"/>
      <c r="AD87" s="308"/>
      <c r="AE87" s="143"/>
    </row>
    <row r="88" spans="1:32" s="2" customFormat="1">
      <c r="A88" s="123"/>
      <c r="B88" s="322" t="s">
        <v>32</v>
      </c>
      <c r="C88" s="323" t="s">
        <v>4</v>
      </c>
      <c r="D88" s="333"/>
      <c r="E88" s="324"/>
      <c r="F88" s="437"/>
      <c r="G88" s="324"/>
      <c r="H88" s="324">
        <f>H17+H81+H82</f>
        <v>12777.669999999998</v>
      </c>
      <c r="I88" s="324">
        <f>I17+I81+I82</f>
        <v>6131.3180000000002</v>
      </c>
      <c r="J88" s="324">
        <f>J17+J81+J82</f>
        <v>6646.348</v>
      </c>
      <c r="K88" s="346"/>
      <c r="L88" s="634"/>
      <c r="M88" s="604">
        <f>M17+M81+M82</f>
        <v>14102.470006880001</v>
      </c>
      <c r="N88" s="325">
        <f>O88+Q88</f>
        <v>12888.444395091268</v>
      </c>
      <c r="O88" s="326">
        <f>O17+O81+O82</f>
        <v>6295.1131093196645</v>
      </c>
      <c r="P88" s="327"/>
      <c r="Q88" s="416">
        <f>Q17+Q81+Q82</f>
        <v>6593.3312857716037</v>
      </c>
      <c r="R88" s="634"/>
      <c r="S88" s="390">
        <f>S17+S81+S82</f>
        <v>13577.627010661798</v>
      </c>
      <c r="T88" s="326">
        <f>T17+T81+T82</f>
        <v>6598.2752042716038</v>
      </c>
      <c r="U88" s="327"/>
      <c r="V88" s="328">
        <f>V17+V81+V82</f>
        <v>6979.3518063901938</v>
      </c>
      <c r="W88" s="325">
        <f>X88+Z88</f>
        <v>13542.97631270435</v>
      </c>
      <c r="X88" s="326">
        <f>X82+X81+X72+X19+X60</f>
        <v>6647.3775390411265</v>
      </c>
      <c r="Y88" s="327"/>
      <c r="Z88" s="416">
        <f>Z82+Z81+Z72+Z60+Z19</f>
        <v>6895.5987736632233</v>
      </c>
      <c r="AA88" s="760">
        <f>W88-S88</f>
        <v>-34.650697957447846</v>
      </c>
      <c r="AB88" s="390" t="e">
        <f>AB17+AB81+AB82</f>
        <v>#REF!</v>
      </c>
      <c r="AC88" s="326" t="e">
        <f>AC17+AC81+AC82</f>
        <v>#REF!</v>
      </c>
      <c r="AD88" s="327"/>
      <c r="AE88" s="326" t="e">
        <f>AE17+AE81+AE82</f>
        <v>#REF!</v>
      </c>
      <c r="AF88" s="337" t="e">
        <f>AE88+AC88+V88+T88+Q88</f>
        <v>#REF!</v>
      </c>
    </row>
    <row r="89" spans="1:32" s="2" customFormat="1" hidden="1">
      <c r="A89" s="123"/>
      <c r="B89" s="322" t="s">
        <v>216</v>
      </c>
      <c r="C89" s="323"/>
      <c r="D89" s="333"/>
      <c r="E89" s="324"/>
      <c r="F89" s="437"/>
      <c r="G89" s="324"/>
      <c r="H89" s="324"/>
      <c r="I89" s="324"/>
      <c r="J89" s="324"/>
      <c r="K89" s="346"/>
      <c r="L89" s="634"/>
      <c r="M89" s="604"/>
      <c r="N89" s="325"/>
      <c r="O89" s="326"/>
      <c r="P89" s="327"/>
      <c r="Q89" s="416">
        <f>Q55+Q58+7</f>
        <v>7</v>
      </c>
      <c r="R89" s="634"/>
      <c r="S89" s="390"/>
      <c r="T89" s="328"/>
      <c r="U89" s="327"/>
      <c r="V89" s="328"/>
      <c r="W89" s="325"/>
      <c r="X89" s="328"/>
      <c r="Y89" s="327"/>
      <c r="Z89" s="416"/>
      <c r="AA89" s="689"/>
      <c r="AB89" s="390"/>
      <c r="AC89" s="328"/>
      <c r="AD89" s="327"/>
      <c r="AE89" s="326"/>
      <c r="AF89" s="337"/>
    </row>
    <row r="90" spans="1:32" s="2" customFormat="1">
      <c r="A90" s="123"/>
      <c r="B90" s="322" t="s">
        <v>170</v>
      </c>
      <c r="C90" s="323" t="s">
        <v>4</v>
      </c>
      <c r="D90" s="323"/>
      <c r="E90" s="324"/>
      <c r="F90" s="431"/>
      <c r="G90" s="324"/>
      <c r="H90" s="324"/>
      <c r="I90" s="324"/>
      <c r="J90" s="324"/>
      <c r="K90" s="346"/>
      <c r="L90" s="634"/>
      <c r="M90" s="604"/>
      <c r="N90" s="325"/>
      <c r="O90" s="326">
        <f>O91-O88</f>
        <v>351.38237099809157</v>
      </c>
      <c r="P90" s="327"/>
      <c r="Q90" s="416">
        <f>Q91-Q88</f>
        <v>53.16419454615243</v>
      </c>
      <c r="R90" s="634"/>
      <c r="S90" s="390"/>
      <c r="T90" s="328">
        <f>T91-T88</f>
        <v>48.220276046152321</v>
      </c>
      <c r="U90" s="327"/>
      <c r="V90" s="328">
        <f>V91-V88</f>
        <v>-27.11753397782104</v>
      </c>
      <c r="W90" s="325"/>
      <c r="X90" s="328">
        <f>29.5*X9-X88</f>
        <v>4.9609588741077459E-3</v>
      </c>
      <c r="Y90" s="327"/>
      <c r="Z90" s="416">
        <f>-X90</f>
        <v>-4.9609588741077459E-3</v>
      </c>
      <c r="AA90" s="689"/>
      <c r="AB90" s="390"/>
      <c r="AC90" s="328" t="e">
        <f>AC91-AC88</f>
        <v>#REF!</v>
      </c>
      <c r="AD90" s="327"/>
      <c r="AE90" s="326" t="e">
        <f>AE91-AE88</f>
        <v>#REF!</v>
      </c>
      <c r="AF90" s="337" t="e">
        <f>AE90+AC90+V90+T90+Q90</f>
        <v>#REF!</v>
      </c>
    </row>
    <row r="91" spans="1:32" s="2" customFormat="1">
      <c r="A91" s="123"/>
      <c r="B91" s="124" t="s">
        <v>171</v>
      </c>
      <c r="C91" s="125" t="s">
        <v>4</v>
      </c>
      <c r="D91" s="82"/>
      <c r="E91" s="82"/>
      <c r="F91" s="438"/>
      <c r="G91" s="32"/>
      <c r="H91" s="32">
        <f>H88</f>
        <v>12777.669999999998</v>
      </c>
      <c r="I91" s="91">
        <f>I88</f>
        <v>6131.3180000000002</v>
      </c>
      <c r="J91" s="32">
        <f>J88</f>
        <v>6646.348</v>
      </c>
      <c r="K91" s="112"/>
      <c r="L91" s="623"/>
      <c r="M91" s="598">
        <f>M88</f>
        <v>14102.470006880001</v>
      </c>
      <c r="N91" s="81">
        <f>O91+Q91</f>
        <v>13292.990960635512</v>
      </c>
      <c r="O91" s="272">
        <f>O92*O9</f>
        <v>6646.4954803177561</v>
      </c>
      <c r="P91" s="300"/>
      <c r="Q91" s="417">
        <f>Q92*Q9</f>
        <v>6646.4954803177561</v>
      </c>
      <c r="R91" s="623"/>
      <c r="S91" s="391">
        <f>T91+V91</f>
        <v>13598.729752730129</v>
      </c>
      <c r="T91" s="272">
        <f>T92*T9</f>
        <v>6646.4954803177561</v>
      </c>
      <c r="U91" s="300"/>
      <c r="V91" s="655">
        <f>V92*V9</f>
        <v>6952.2342724123728</v>
      </c>
      <c r="W91" s="81">
        <f>Z91+X91</f>
        <v>13542.97631270435</v>
      </c>
      <c r="X91" s="272">
        <f>X88+X90</f>
        <v>6647.3825000000006</v>
      </c>
      <c r="Y91" s="300"/>
      <c r="Z91" s="417">
        <f>Z88+Z90</f>
        <v>6895.5938127043491</v>
      </c>
      <c r="AA91" s="690"/>
      <c r="AB91" s="391">
        <f>AC91+AE91</f>
        <v>14237.414272412374</v>
      </c>
      <c r="AC91" s="272">
        <f>AC92*AC9</f>
        <v>6952.2342724123728</v>
      </c>
      <c r="AD91" s="300"/>
      <c r="AE91" s="272">
        <v>7285.18</v>
      </c>
      <c r="AF91" s="337">
        <f>AE91+AC91+V91+T91+Q91</f>
        <v>34482.639505460262</v>
      </c>
    </row>
    <row r="92" spans="1:32" s="5" customFormat="1">
      <c r="A92" s="126"/>
      <c r="B92" s="127" t="s">
        <v>144</v>
      </c>
      <c r="C92" s="12" t="s">
        <v>31</v>
      </c>
      <c r="D92" s="32"/>
      <c r="E92" s="32"/>
      <c r="F92" s="438"/>
      <c r="G92" s="32"/>
      <c r="H92" s="90">
        <f>H91/H9</f>
        <v>28.352608338695713</v>
      </c>
      <c r="I92" s="32">
        <f>I91/I9</f>
        <v>27.210393644876405</v>
      </c>
      <c r="J92" s="334">
        <f>J91/J9</f>
        <v>29.496063551235963</v>
      </c>
      <c r="K92" s="347"/>
      <c r="L92" s="620"/>
      <c r="M92" s="347">
        <f>M91/M9</f>
        <v>31.292231581600728</v>
      </c>
      <c r="N92" s="74">
        <f>N91/N9</f>
        <v>29.496063551235963</v>
      </c>
      <c r="O92" s="273">
        <f>J92</f>
        <v>29.496063551235963</v>
      </c>
      <c r="P92" s="297"/>
      <c r="Q92" s="418">
        <f>O92</f>
        <v>29.496063551235963</v>
      </c>
      <c r="R92" s="620"/>
      <c r="S92" s="381">
        <f>S91/S9</f>
        <v>30.17447301291439</v>
      </c>
      <c r="T92" s="273">
        <f>Q92</f>
        <v>29.496063551235963</v>
      </c>
      <c r="U92" s="297"/>
      <c r="V92" s="656">
        <f>T92*1.046</f>
        <v>30.852882474592818</v>
      </c>
      <c r="W92" s="74"/>
      <c r="X92" s="273">
        <f>X91/X9</f>
        <v>29.5</v>
      </c>
      <c r="Y92" s="297"/>
      <c r="Z92" s="418">
        <f>Z91/Z9</f>
        <v>30.601521346902828</v>
      </c>
      <c r="AA92" s="691"/>
      <c r="AB92" s="381">
        <f>AB91/AB9</f>
        <v>31.591661908741148</v>
      </c>
      <c r="AC92" s="273">
        <f>V92</f>
        <v>30.852882474592818</v>
      </c>
      <c r="AD92" s="297"/>
      <c r="AE92" s="273">
        <f>AE91/AE9</f>
        <v>32.330441342889479</v>
      </c>
      <c r="AF92" s="337" t="e">
        <f>AF91-AF88</f>
        <v>#REF!</v>
      </c>
    </row>
    <row r="93" spans="1:32" s="5" customFormat="1" ht="17.25" customHeight="1" thickBot="1">
      <c r="A93" s="39"/>
      <c r="B93" s="37" t="s">
        <v>87</v>
      </c>
      <c r="C93" s="339" t="s">
        <v>7</v>
      </c>
      <c r="D93" s="339"/>
      <c r="E93" s="339"/>
      <c r="F93" s="428"/>
      <c r="G93" s="428"/>
      <c r="H93" s="428"/>
      <c r="I93" s="428"/>
      <c r="J93" s="428"/>
      <c r="K93" s="65"/>
      <c r="L93" s="642"/>
      <c r="M93" s="606">
        <f>M92/J92</f>
        <v>1.0608951776648006</v>
      </c>
      <c r="N93" s="582"/>
      <c r="O93" s="248">
        <f>O92/J92</f>
        <v>1</v>
      </c>
      <c r="P93" s="309"/>
      <c r="Q93" s="419">
        <f>Q92/J92</f>
        <v>1</v>
      </c>
      <c r="R93" s="635"/>
      <c r="S93" s="381"/>
      <c r="T93" s="248">
        <f>T92/Q92</f>
        <v>1</v>
      </c>
      <c r="U93" s="309"/>
      <c r="V93" s="657">
        <f>V92/Q92</f>
        <v>1.046</v>
      </c>
      <c r="W93" s="665"/>
      <c r="X93" s="666">
        <v>1</v>
      </c>
      <c r="Y93" s="667"/>
      <c r="Z93" s="668">
        <f>Z92/X92</f>
        <v>1.0373397066746721</v>
      </c>
      <c r="AA93" s="692"/>
      <c r="AB93" s="669"/>
      <c r="AC93" s="248">
        <f>AC92/V92</f>
        <v>1</v>
      </c>
      <c r="AD93" s="309"/>
      <c r="AE93" s="248">
        <f>AE92/V92</f>
        <v>1.0478904643516995</v>
      </c>
    </row>
    <row r="94" spans="1:32" ht="15.75" thickBot="1">
      <c r="B94" s="36"/>
      <c r="M94" s="253"/>
      <c r="N94" s="253"/>
      <c r="O94" s="254"/>
      <c r="P94" s="254"/>
      <c r="Q94" s="255"/>
      <c r="R94" s="607"/>
      <c r="S94" s="33"/>
      <c r="T94" s="34"/>
      <c r="U94" s="34"/>
      <c r="V94" s="34"/>
      <c r="W94" s="33"/>
      <c r="X94" s="34"/>
      <c r="Y94" s="34"/>
      <c r="Z94" s="34"/>
      <c r="AA94" s="34"/>
      <c r="AB94" s="34"/>
      <c r="AC94" s="34"/>
      <c r="AD94" s="34"/>
      <c r="AE94" s="34"/>
      <c r="AF94" s="50" t="e">
        <f>AF88/AF9</f>
        <v>#REF!</v>
      </c>
    </row>
    <row r="95" spans="1:32" hidden="1">
      <c r="O95" s="33"/>
      <c r="P95" s="33"/>
      <c r="Q95" s="33"/>
      <c r="R95" s="33"/>
    </row>
    <row r="96" spans="1:32" hidden="1">
      <c r="M96" s="367"/>
      <c r="O96" s="342">
        <f>(J91-O92)*O9</f>
        <v>1491008.3310996823</v>
      </c>
      <c r="P96" s="40"/>
      <c r="Q96" s="40"/>
      <c r="R96" s="40"/>
      <c r="AB96" s="137"/>
    </row>
    <row r="97" spans="15:27" hidden="1"/>
    <row r="98" spans="15:27" hidden="1"/>
    <row r="99" spans="15:27" hidden="1"/>
    <row r="100" spans="15:27" hidden="1"/>
    <row r="101" spans="15:27" hidden="1"/>
    <row r="102" spans="15:27" hidden="1"/>
    <row r="103" spans="15:27" hidden="1">
      <c r="T103" s="8">
        <v>1.1499999999999999</v>
      </c>
      <c r="U103" s="8">
        <v>1.32</v>
      </c>
      <c r="V103" s="8">
        <v>1.52</v>
      </c>
      <c r="X103" s="8">
        <v>1.1499999999999999</v>
      </c>
      <c r="Y103" s="8">
        <v>1.32</v>
      </c>
      <c r="Z103" s="8">
        <v>1.52</v>
      </c>
    </row>
    <row r="104" spans="15:27" hidden="1">
      <c r="S104" s="9">
        <v>360</v>
      </c>
      <c r="T104" s="8">
        <f>$S$104*T103</f>
        <v>413.99999999999994</v>
      </c>
      <c r="U104" s="8">
        <f>$S$104*U103</f>
        <v>475.20000000000005</v>
      </c>
      <c r="V104" s="8">
        <f>$S$104*V103</f>
        <v>547.20000000000005</v>
      </c>
      <c r="W104" s="9">
        <v>360</v>
      </c>
      <c r="X104" s="8">
        <f>$S$104*X103</f>
        <v>413.99999999999994</v>
      </c>
      <c r="Y104" s="8">
        <f>$S$104*Y103</f>
        <v>475.20000000000005</v>
      </c>
      <c r="Z104" s="8">
        <f>$S$104*Z103</f>
        <v>547.20000000000005</v>
      </c>
    </row>
    <row r="105" spans="15:27" hidden="1">
      <c r="T105" s="137">
        <f>T104/S104</f>
        <v>1.1499999999999999</v>
      </c>
      <c r="U105" s="137">
        <f>U104/T104</f>
        <v>1.147826086956522</v>
      </c>
      <c r="V105" s="137">
        <f>V104/U104</f>
        <v>1.1515151515151516</v>
      </c>
      <c r="X105" s="137">
        <f>X104/W104</f>
        <v>1.1499999999999999</v>
      </c>
      <c r="Y105" s="137">
        <f>Y104/X104</f>
        <v>1.147826086956522</v>
      </c>
      <c r="Z105" s="137">
        <f>Z104/Y104</f>
        <v>1.1515151515151516</v>
      </c>
      <c r="AA105" s="137"/>
    </row>
    <row r="106" spans="15:27" hidden="1"/>
    <row r="107" spans="15:27" hidden="1">
      <c r="U107" s="8">
        <f>U104/S104</f>
        <v>1.32</v>
      </c>
      <c r="V107" s="8">
        <f>V104/S104</f>
        <v>1.52</v>
      </c>
      <c r="Y107" s="8">
        <f>Y104/W104</f>
        <v>1.32</v>
      </c>
      <c r="Z107" s="8">
        <f>Z104/W104</f>
        <v>1.52</v>
      </c>
    </row>
    <row r="108" spans="15:27" hidden="1"/>
    <row r="109" spans="15:27" hidden="1"/>
    <row r="110" spans="15:27" hidden="1"/>
    <row r="111" spans="15:27" hidden="1"/>
    <row r="112" spans="15:27" hidden="1">
      <c r="O112" s="342">
        <f>J91*O9-O91</f>
        <v>1491008.3310996823</v>
      </c>
    </row>
    <row r="113" spans="11:23" hidden="1"/>
    <row r="114" spans="11:23" hidden="1"/>
    <row r="115" spans="11:23" hidden="1"/>
    <row r="116" spans="11:23" hidden="1"/>
    <row r="117" spans="11:23" hidden="1"/>
    <row r="118" spans="11:23" hidden="1"/>
    <row r="119" spans="11:23" hidden="1"/>
    <row r="120" spans="11:23" hidden="1"/>
    <row r="121" spans="11:23" hidden="1"/>
    <row r="124" spans="11:23">
      <c r="W124" s="9" t="s">
        <v>45</v>
      </c>
    </row>
    <row r="125" spans="11:23">
      <c r="K125" s="137"/>
      <c r="L125" s="137"/>
      <c r="W125" s="40"/>
    </row>
    <row r="130" spans="31:31">
      <c r="AE130" s="137"/>
    </row>
  </sheetData>
  <mergeCells count="12">
    <mergeCell ref="A81:B81"/>
    <mergeCell ref="A82:B82"/>
    <mergeCell ref="A17:B17"/>
    <mergeCell ref="A1:A2"/>
    <mergeCell ref="B1:B2"/>
    <mergeCell ref="AB1:AE1"/>
    <mergeCell ref="H1:K1"/>
    <mergeCell ref="C1:C2"/>
    <mergeCell ref="F1:G1"/>
    <mergeCell ref="N1:Q1"/>
    <mergeCell ref="W1:Z1"/>
    <mergeCell ref="S1:V1"/>
  </mergeCells>
  <phoneticPr fontId="0" type="noConversion"/>
  <pageMargins left="0.15748031496062992" right="0.15748031496062992" top="0.23622047244094491" bottom="0.19685039370078741" header="0.23622047244094491" footer="0.15748031496062992"/>
  <pageSetup paperSize="9" scale="48" fitToWidth="2" orientation="landscape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6"/>
  <sheetViews>
    <sheetView topLeftCell="A13" workbookViewId="0">
      <selection activeCell="C24" sqref="C24"/>
    </sheetView>
  </sheetViews>
  <sheetFormatPr defaultRowHeight="15"/>
  <cols>
    <col min="2" max="2" width="56.7109375" customWidth="1"/>
    <col min="3" max="3" width="16.85546875" customWidth="1"/>
  </cols>
  <sheetData>
    <row r="4" spans="1:12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>
      <c r="B5" s="221" t="s">
        <v>118</v>
      </c>
      <c r="C5" s="221" t="s">
        <v>278</v>
      </c>
      <c r="D5" s="221"/>
      <c r="E5" s="221"/>
      <c r="F5" s="221"/>
      <c r="G5" s="221"/>
      <c r="H5" s="221"/>
      <c r="I5" s="221"/>
      <c r="J5" s="221"/>
      <c r="K5" s="221"/>
      <c r="L5" s="221"/>
    </row>
    <row r="6" spans="1:12" ht="24" customHeight="1">
      <c r="A6" s="496">
        <v>1</v>
      </c>
      <c r="B6" s="513" t="s">
        <v>267</v>
      </c>
      <c r="C6" s="426">
        <v>44.4</v>
      </c>
      <c r="D6" s="221"/>
      <c r="E6" s="221"/>
      <c r="F6" s="221"/>
      <c r="G6" s="221"/>
      <c r="H6" s="221"/>
      <c r="I6" s="221"/>
      <c r="J6" s="221"/>
      <c r="K6" s="221"/>
      <c r="L6" s="221"/>
    </row>
    <row r="7" spans="1:12" ht="24" customHeight="1">
      <c r="A7" s="496">
        <v>2</v>
      </c>
      <c r="B7" s="513" t="s">
        <v>268</v>
      </c>
      <c r="C7" s="426">
        <v>10</v>
      </c>
      <c r="D7" s="221"/>
      <c r="E7" s="221"/>
      <c r="F7" s="221"/>
      <c r="G7" s="221"/>
      <c r="H7" s="221"/>
      <c r="I7" s="221"/>
      <c r="J7" s="221"/>
      <c r="K7" s="221"/>
      <c r="L7" s="221"/>
    </row>
    <row r="8" spans="1:12" ht="24" customHeight="1">
      <c r="A8" s="496">
        <v>3</v>
      </c>
      <c r="B8" s="513" t="s">
        <v>269</v>
      </c>
      <c r="C8" s="426">
        <v>0.56000000000000005</v>
      </c>
      <c r="D8" s="221"/>
      <c r="E8" s="221"/>
      <c r="F8" s="221"/>
      <c r="G8" s="221"/>
      <c r="H8" s="221"/>
      <c r="I8" s="221"/>
      <c r="J8" s="221"/>
      <c r="K8" s="221"/>
      <c r="L8" s="221"/>
    </row>
    <row r="9" spans="1:12" ht="24" customHeight="1">
      <c r="A9" s="496">
        <v>4</v>
      </c>
      <c r="B9" s="513" t="s">
        <v>270</v>
      </c>
      <c r="C9" s="426">
        <v>11.2</v>
      </c>
      <c r="D9" s="221"/>
      <c r="E9" s="221"/>
      <c r="F9" s="221"/>
      <c r="G9" s="221"/>
      <c r="H9" s="221"/>
      <c r="I9" s="221"/>
      <c r="J9" s="221"/>
      <c r="K9" s="221"/>
      <c r="L9" s="221"/>
    </row>
    <row r="10" spans="1:12" ht="24" customHeight="1">
      <c r="A10" s="496">
        <v>5</v>
      </c>
      <c r="B10" s="513" t="s">
        <v>271</v>
      </c>
      <c r="C10" s="426">
        <v>42.9</v>
      </c>
      <c r="D10" s="221"/>
      <c r="E10" s="221"/>
      <c r="F10" s="221"/>
      <c r="G10" s="221"/>
      <c r="H10" s="221"/>
      <c r="I10" s="221"/>
      <c r="J10" s="221"/>
      <c r="K10" s="221"/>
      <c r="L10" s="221"/>
    </row>
    <row r="11" spans="1:12" ht="24" customHeight="1">
      <c r="A11" s="496">
        <v>6</v>
      </c>
      <c r="B11" s="513" t="s">
        <v>272</v>
      </c>
      <c r="C11" s="426">
        <v>26.15</v>
      </c>
      <c r="D11" s="221"/>
      <c r="E11" s="221"/>
      <c r="F11" s="221"/>
      <c r="G11" s="221"/>
      <c r="H11" s="221"/>
      <c r="I11" s="221"/>
      <c r="J11" s="221"/>
      <c r="K11" s="221"/>
      <c r="L11" s="221"/>
    </row>
    <row r="12" spans="1:12" ht="24" customHeight="1">
      <c r="A12" s="496">
        <v>7</v>
      </c>
      <c r="B12" s="513" t="s">
        <v>273</v>
      </c>
      <c r="C12" s="426">
        <v>13.8</v>
      </c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ht="24" customHeight="1">
      <c r="A13" s="496">
        <v>8</v>
      </c>
      <c r="B13" s="513" t="s">
        <v>274</v>
      </c>
      <c r="C13" s="426">
        <v>14.4</v>
      </c>
      <c r="D13" s="221"/>
      <c r="E13" s="221"/>
      <c r="F13" s="221"/>
      <c r="G13" s="221"/>
      <c r="H13" s="221"/>
      <c r="I13" s="221"/>
      <c r="J13" s="221"/>
      <c r="K13" s="221"/>
      <c r="L13" s="221"/>
    </row>
    <row r="14" spans="1:12" ht="24" customHeight="1">
      <c r="A14" s="496">
        <v>9</v>
      </c>
      <c r="B14" s="513" t="s">
        <v>275</v>
      </c>
      <c r="C14" s="426">
        <v>0.9</v>
      </c>
      <c r="D14" s="221"/>
      <c r="E14" s="221"/>
      <c r="F14" s="221"/>
      <c r="G14" s="221"/>
      <c r="H14" s="221"/>
      <c r="I14" s="221"/>
      <c r="J14" s="221"/>
      <c r="K14" s="221"/>
      <c r="L14" s="221"/>
    </row>
    <row r="15" spans="1:12" ht="24" customHeight="1">
      <c r="A15" s="496">
        <v>10</v>
      </c>
      <c r="B15" s="513" t="s">
        <v>276</v>
      </c>
      <c r="C15" s="426">
        <v>200</v>
      </c>
      <c r="D15" s="221"/>
      <c r="E15" s="221"/>
      <c r="F15" s="221"/>
      <c r="G15" s="221"/>
      <c r="H15" s="221"/>
      <c r="I15" s="221"/>
      <c r="J15" s="221"/>
      <c r="K15" s="221"/>
      <c r="L15" s="221"/>
    </row>
    <row r="16" spans="1:12" ht="24" customHeight="1">
      <c r="A16" s="496">
        <v>11</v>
      </c>
      <c r="B16" s="513" t="s">
        <v>277</v>
      </c>
      <c r="C16" s="426">
        <v>50</v>
      </c>
      <c r="D16" s="221"/>
      <c r="E16" s="221"/>
      <c r="F16" s="221"/>
      <c r="G16" s="221"/>
      <c r="H16" s="221"/>
      <c r="I16" s="221"/>
      <c r="J16" s="221"/>
      <c r="K16" s="221"/>
      <c r="L16" s="221"/>
    </row>
    <row r="17" spans="2:12"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</row>
    <row r="18" spans="2:12">
      <c r="B18" s="221" t="s">
        <v>117</v>
      </c>
      <c r="C18" s="426">
        <f>SUM(C6:C16)</f>
        <v>414.31000000000006</v>
      </c>
      <c r="D18" s="221"/>
      <c r="E18" s="221"/>
      <c r="F18" s="221"/>
      <c r="G18" s="221"/>
      <c r="H18" s="221"/>
      <c r="I18" s="221"/>
      <c r="J18" s="221"/>
      <c r="K18" s="221"/>
      <c r="L18" s="221"/>
    </row>
    <row r="19" spans="2:12" ht="15.75" thickBot="1"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</row>
    <row r="20" spans="2:12" ht="19.5" thickBot="1">
      <c r="B20" s="514" t="s">
        <v>256</v>
      </c>
      <c r="C20" s="515">
        <f>C18*ФОТ!F73</f>
        <v>0</v>
      </c>
      <c r="D20" s="221"/>
      <c r="E20" s="221"/>
      <c r="F20" s="221"/>
      <c r="G20" s="221"/>
      <c r="H20" s="221"/>
      <c r="I20" s="221"/>
      <c r="J20" s="221"/>
      <c r="K20" s="221"/>
      <c r="L20" s="221"/>
    </row>
    <row r="21" spans="2:12" ht="19.5" thickBot="1">
      <c r="B21" s="505" t="s">
        <v>258</v>
      </c>
      <c r="C21" s="516">
        <f>C18*ФОТ!G73</f>
        <v>0</v>
      </c>
      <c r="D21" s="221"/>
      <c r="E21" s="221"/>
      <c r="F21" s="221"/>
      <c r="G21" s="221"/>
      <c r="H21" s="221"/>
      <c r="I21" s="221"/>
      <c r="J21" s="221"/>
      <c r="K21" s="221"/>
      <c r="L21" s="221"/>
    </row>
    <row r="22" spans="2:12"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</row>
    <row r="23" spans="2:12"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</row>
    <row r="24" spans="2:12"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</row>
    <row r="25" spans="2:12">
      <c r="B25" s="513"/>
      <c r="C25" s="221"/>
      <c r="D25" s="221"/>
      <c r="E25" s="221"/>
      <c r="F25" s="221"/>
      <c r="G25" s="221"/>
      <c r="H25" s="221"/>
      <c r="I25" s="221"/>
      <c r="J25" s="221"/>
      <c r="K25" s="221"/>
      <c r="L25" s="221"/>
    </row>
    <row r="26" spans="2:12"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F110"/>
  <sheetViews>
    <sheetView zoomScale="85" zoomScaleNormal="85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AF90" sqref="A3:AF90"/>
    </sheetView>
  </sheetViews>
  <sheetFormatPr defaultRowHeight="15"/>
  <cols>
    <col min="1" max="1" width="5.42578125" style="10" customWidth="1"/>
    <col min="2" max="2" width="28.5703125" style="8" customWidth="1"/>
    <col min="3" max="3" width="8.28515625" style="10" customWidth="1"/>
    <col min="4" max="5" width="11.140625" style="10" hidden="1" customWidth="1"/>
    <col min="6" max="6" width="13.28515625" style="8" hidden="1" customWidth="1"/>
    <col min="7" max="7" width="1.140625" style="9" hidden="1" customWidth="1"/>
    <col min="8" max="8" width="8.85546875" style="9" customWidth="1"/>
    <col min="9" max="10" width="9.85546875" style="8" customWidth="1"/>
    <col min="11" max="11" width="11.7109375" style="8" hidden="1" customWidth="1"/>
    <col min="12" max="12" width="21.42578125" style="9" hidden="1" customWidth="1"/>
    <col min="13" max="13" width="9.42578125" style="9" customWidth="1"/>
    <col min="14" max="14" width="9.140625" style="9"/>
    <col min="15" max="15" width="8.7109375" style="9" customWidth="1"/>
    <col min="16" max="16" width="6.85546875" style="9" customWidth="1"/>
    <col min="17" max="18" width="10.42578125" style="9" customWidth="1"/>
    <col min="19" max="19" width="9.28515625" style="9" customWidth="1"/>
    <col min="20" max="20" width="10.5703125" style="8" customWidth="1"/>
    <col min="21" max="21" width="7.28515625" style="8" customWidth="1"/>
    <col min="22" max="22" width="11.7109375" style="8" customWidth="1"/>
    <col min="23" max="23" width="9.28515625" style="9" customWidth="1"/>
    <col min="24" max="24" width="11.85546875" style="8" customWidth="1"/>
    <col min="25" max="25" width="7.28515625" style="8" customWidth="1"/>
    <col min="26" max="26" width="8.85546875" style="8" customWidth="1"/>
    <col min="27" max="27" width="8" style="8" hidden="1" customWidth="1"/>
    <col min="28" max="28" width="8.7109375" style="8" hidden="1" customWidth="1"/>
    <col min="29" max="29" width="6.5703125" style="8" hidden="1" customWidth="1"/>
    <col min="30" max="30" width="9.5703125" style="8" hidden="1" customWidth="1"/>
    <col min="31" max="31" width="3.5703125" hidden="1" customWidth="1"/>
    <col min="32" max="32" width="10.140625" customWidth="1"/>
  </cols>
  <sheetData>
    <row r="1" spans="1:32" hidden="1">
      <c r="B1" s="823" t="s">
        <v>328</v>
      </c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  <c r="Z1" s="823"/>
      <c r="AA1" s="823"/>
      <c r="AB1" s="823"/>
      <c r="AC1" s="823"/>
      <c r="AD1" s="823"/>
    </row>
    <row r="2" spans="1:32" ht="15.75" hidden="1" thickBot="1"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271"/>
      <c r="M2" s="271"/>
      <c r="N2" s="271"/>
      <c r="O2" s="271"/>
      <c r="P2" s="271"/>
      <c r="Q2" s="271"/>
      <c r="R2" s="27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</row>
    <row r="3" spans="1:32" ht="15.75" thickBot="1">
      <c r="N3" s="825" t="s">
        <v>20</v>
      </c>
      <c r="O3" s="826"/>
      <c r="P3" s="826"/>
      <c r="Q3" s="827"/>
      <c r="R3" s="11"/>
      <c r="S3" s="11"/>
      <c r="W3" s="11"/>
    </row>
    <row r="4" spans="1:32" ht="15" customHeight="1" thickBot="1">
      <c r="A4" s="816" t="s">
        <v>3</v>
      </c>
      <c r="B4" s="816" t="s">
        <v>327</v>
      </c>
      <c r="C4" s="806" t="s">
        <v>0</v>
      </c>
      <c r="D4" s="279" t="s">
        <v>162</v>
      </c>
      <c r="E4" s="279" t="s">
        <v>163</v>
      </c>
      <c r="F4" s="807" t="s">
        <v>83</v>
      </c>
      <c r="G4" s="807"/>
      <c r="H4" s="804" t="s">
        <v>84</v>
      </c>
      <c r="I4" s="805"/>
      <c r="J4" s="805"/>
      <c r="K4" s="805"/>
      <c r="M4" s="645"/>
      <c r="N4" s="808" t="s">
        <v>85</v>
      </c>
      <c r="O4" s="809"/>
      <c r="P4" s="809"/>
      <c r="Q4" s="810"/>
      <c r="R4" s="648"/>
      <c r="S4" s="802" t="s">
        <v>331</v>
      </c>
      <c r="T4" s="803"/>
      <c r="U4" s="803"/>
      <c r="V4" s="817"/>
      <c r="W4" s="820" t="s">
        <v>332</v>
      </c>
      <c r="X4" s="821"/>
      <c r="Y4" s="821"/>
      <c r="Z4" s="822"/>
      <c r="AA4" s="824" t="s">
        <v>165</v>
      </c>
      <c r="AB4" s="824"/>
      <c r="AC4" s="824"/>
      <c r="AD4" s="802"/>
      <c r="AF4" s="818" t="s">
        <v>330</v>
      </c>
    </row>
    <row r="5" spans="1:32" ht="51.75" thickBot="1">
      <c r="A5" s="816"/>
      <c r="B5" s="806"/>
      <c r="C5" s="806"/>
      <c r="D5" s="31" t="s">
        <v>2</v>
      </c>
      <c r="E5" s="31" t="s">
        <v>181</v>
      </c>
      <c r="F5" s="338" t="s">
        <v>172</v>
      </c>
      <c r="G5" s="144" t="s">
        <v>181</v>
      </c>
      <c r="H5" s="13" t="s">
        <v>1</v>
      </c>
      <c r="I5" s="13" t="s">
        <v>160</v>
      </c>
      <c r="J5" s="13" t="s">
        <v>161</v>
      </c>
      <c r="K5" s="420" t="s">
        <v>194</v>
      </c>
      <c r="L5" s="562" t="s">
        <v>92</v>
      </c>
      <c r="M5" s="643" t="s">
        <v>325</v>
      </c>
      <c r="N5" s="576" t="s">
        <v>91</v>
      </c>
      <c r="O5" s="13" t="s">
        <v>78</v>
      </c>
      <c r="P5" s="285" t="s">
        <v>164</v>
      </c>
      <c r="Q5" s="392" t="s">
        <v>79</v>
      </c>
      <c r="R5" s="644" t="s">
        <v>326</v>
      </c>
      <c r="S5" s="369" t="s">
        <v>91</v>
      </c>
      <c r="T5" s="13" t="s">
        <v>80</v>
      </c>
      <c r="U5" s="285" t="s">
        <v>168</v>
      </c>
      <c r="V5" s="649" t="s">
        <v>81</v>
      </c>
      <c r="W5" s="781" t="s">
        <v>91</v>
      </c>
      <c r="X5" s="13" t="s">
        <v>80</v>
      </c>
      <c r="Y5" s="285" t="s">
        <v>168</v>
      </c>
      <c r="Z5" s="392" t="s">
        <v>81</v>
      </c>
      <c r="AA5" s="369" t="s">
        <v>91</v>
      </c>
      <c r="AB5" s="13" t="s">
        <v>166</v>
      </c>
      <c r="AC5" s="285" t="s">
        <v>169</v>
      </c>
      <c r="AD5" s="13" t="s">
        <v>167</v>
      </c>
      <c r="AF5" s="819"/>
    </row>
    <row r="6" spans="1:32">
      <c r="A6" s="338"/>
      <c r="B6" s="439" t="s">
        <v>199</v>
      </c>
      <c r="C6" s="339" t="s">
        <v>12</v>
      </c>
      <c r="D6" s="82"/>
      <c r="E6" s="90"/>
      <c r="F6" s="438"/>
      <c r="G6" s="350"/>
      <c r="H6" s="90">
        <v>212</v>
      </c>
      <c r="I6" s="90">
        <f>H6/2</f>
        <v>106</v>
      </c>
      <c r="J6" s="90">
        <f>H6-I6</f>
        <v>106</v>
      </c>
      <c r="K6" s="131"/>
      <c r="L6" s="256">
        <f>H6</f>
        <v>212</v>
      </c>
      <c r="M6" s="637">
        <v>172.8</v>
      </c>
      <c r="N6" s="74">
        <f>L6</f>
        <v>212</v>
      </c>
      <c r="O6" s="133">
        <f>N6/2</f>
        <v>106</v>
      </c>
      <c r="P6" s="286"/>
      <c r="Q6" s="393">
        <f>O6</f>
        <v>106</v>
      </c>
      <c r="R6" s="609">
        <v>172.43</v>
      </c>
      <c r="S6" s="370">
        <f>T6+V6</f>
        <v>212</v>
      </c>
      <c r="T6" s="281">
        <f>Q6</f>
        <v>106</v>
      </c>
      <c r="U6" s="312"/>
      <c r="V6" s="281">
        <f>T6</f>
        <v>106</v>
      </c>
      <c r="W6" s="782">
        <f>S6*0.95</f>
        <v>201.39999999999998</v>
      </c>
      <c r="X6" s="281">
        <f>W6/2</f>
        <v>100.69999999999999</v>
      </c>
      <c r="Y6" s="312"/>
      <c r="Z6" s="393">
        <f>W6-X6</f>
        <v>100.69999999999999</v>
      </c>
      <c r="AA6" s="133">
        <f>AB6+AD6</f>
        <v>212</v>
      </c>
      <c r="AB6" s="132">
        <f>V6</f>
        <v>106</v>
      </c>
      <c r="AC6" s="312"/>
      <c r="AD6" s="132">
        <f>AB6</f>
        <v>106</v>
      </c>
      <c r="AF6" s="795"/>
    </row>
    <row r="7" spans="1:32">
      <c r="A7" s="338"/>
      <c r="B7" s="440" t="s">
        <v>46</v>
      </c>
      <c r="C7" s="339" t="s">
        <v>12</v>
      </c>
      <c r="D7" s="14"/>
      <c r="E7" s="16"/>
      <c r="F7" s="429"/>
      <c r="G7" s="14"/>
      <c r="H7" s="16">
        <v>212</v>
      </c>
      <c r="I7" s="16">
        <f>H7/2</f>
        <v>106</v>
      </c>
      <c r="J7" s="16">
        <f>H7-I7</f>
        <v>106</v>
      </c>
      <c r="K7" s="15"/>
      <c r="L7" s="257">
        <f>H7</f>
        <v>212</v>
      </c>
      <c r="M7" s="638">
        <v>172.8</v>
      </c>
      <c r="N7" s="75">
        <f>L7</f>
        <v>212</v>
      </c>
      <c r="O7" s="66">
        <f>N7/2</f>
        <v>106</v>
      </c>
      <c r="P7" s="287"/>
      <c r="Q7" s="394">
        <f>O7</f>
        <v>106</v>
      </c>
      <c r="R7" s="610">
        <v>172.43</v>
      </c>
      <c r="S7" s="371">
        <f>T7+V7</f>
        <v>212</v>
      </c>
      <c r="T7" s="282">
        <f>Q7</f>
        <v>106</v>
      </c>
      <c r="U7" s="287"/>
      <c r="V7" s="650">
        <f>T7</f>
        <v>106</v>
      </c>
      <c r="W7" s="782">
        <f>S7*0.95</f>
        <v>201.39999999999998</v>
      </c>
      <c r="X7" s="281">
        <f>W7/2</f>
        <v>100.69999999999999</v>
      </c>
      <c r="Y7" s="312"/>
      <c r="Z7" s="393">
        <f>W7-X7</f>
        <v>100.69999999999999</v>
      </c>
      <c r="AA7" s="371">
        <f>AB7+AD7</f>
        <v>212</v>
      </c>
      <c r="AB7" s="22">
        <f>V7</f>
        <v>106</v>
      </c>
      <c r="AC7" s="317"/>
      <c r="AD7" s="22">
        <f>AB7</f>
        <v>106</v>
      </c>
      <c r="AF7" s="783"/>
    </row>
    <row r="8" spans="1:32" ht="38.25">
      <c r="A8" s="338"/>
      <c r="B8" s="441" t="s">
        <v>200</v>
      </c>
      <c r="C8" s="343" t="s">
        <v>12</v>
      </c>
      <c r="D8" s="14"/>
      <c r="E8" s="16"/>
      <c r="F8" s="435"/>
      <c r="G8" s="105"/>
      <c r="H8" s="135">
        <v>212</v>
      </c>
      <c r="I8" s="135">
        <f>H8/2</f>
        <v>106</v>
      </c>
      <c r="J8" s="135">
        <f>H8-I8</f>
        <v>106</v>
      </c>
      <c r="K8" s="444"/>
      <c r="L8" s="453">
        <f>H8</f>
        <v>212</v>
      </c>
      <c r="M8" s="646">
        <f>M10+M12+M14</f>
        <v>172.79999999999998</v>
      </c>
      <c r="N8" s="78">
        <f>L8</f>
        <v>212</v>
      </c>
      <c r="O8" s="262">
        <f>N8/2</f>
        <v>106</v>
      </c>
      <c r="P8" s="289"/>
      <c r="Q8" s="396">
        <f>O8</f>
        <v>106</v>
      </c>
      <c r="R8" s="612">
        <f>R10+R12+R14</f>
        <v>172.43</v>
      </c>
      <c r="S8" s="475">
        <f>T8+V8</f>
        <v>212</v>
      </c>
      <c r="T8" s="283">
        <f>Q8</f>
        <v>106</v>
      </c>
      <c r="U8" s="289"/>
      <c r="V8" s="780">
        <f>T8</f>
        <v>106</v>
      </c>
      <c r="W8" s="782">
        <f>S8*0.95</f>
        <v>201.39999999999998</v>
      </c>
      <c r="X8" s="281">
        <f>W8/2</f>
        <v>100.69999999999999</v>
      </c>
      <c r="Y8" s="312"/>
      <c r="Z8" s="393">
        <f>W8-X8</f>
        <v>100.69999999999999</v>
      </c>
      <c r="AA8" s="475">
        <f>AB8+AD8</f>
        <v>212</v>
      </c>
      <c r="AB8" s="476">
        <f>V8</f>
        <v>106</v>
      </c>
      <c r="AC8" s="445"/>
      <c r="AD8" s="476">
        <f>AB8</f>
        <v>106</v>
      </c>
      <c r="AE8" s="337">
        <f>Q8+T8+V8+AB8+AD8</f>
        <v>530</v>
      </c>
      <c r="AF8" s="784"/>
    </row>
    <row r="9" spans="1:32">
      <c r="A9" s="338"/>
      <c r="B9" s="442" t="s">
        <v>202</v>
      </c>
      <c r="C9" s="339" t="s">
        <v>12</v>
      </c>
      <c r="D9" s="14"/>
      <c r="E9" s="16"/>
      <c r="F9" s="429"/>
      <c r="G9" s="14"/>
      <c r="H9" s="485"/>
      <c r="I9" s="90"/>
      <c r="J9" s="90"/>
      <c r="K9" s="15"/>
      <c r="L9" s="257"/>
      <c r="M9" s="638"/>
      <c r="N9" s="75"/>
      <c r="O9" s="66"/>
      <c r="P9" s="287"/>
      <c r="Q9" s="394"/>
      <c r="R9" s="610"/>
      <c r="S9" s="371"/>
      <c r="T9" s="282"/>
      <c r="U9" s="287"/>
      <c r="V9" s="650"/>
      <c r="W9" s="658"/>
      <c r="X9" s="282"/>
      <c r="Y9" s="287"/>
      <c r="Z9" s="659"/>
      <c r="AA9" s="371"/>
      <c r="AB9" s="22"/>
      <c r="AC9" s="317"/>
      <c r="AD9" s="22"/>
      <c r="AF9" s="783"/>
    </row>
    <row r="10" spans="1:32">
      <c r="A10" s="338"/>
      <c r="B10" s="442" t="s">
        <v>142</v>
      </c>
      <c r="C10" s="339" t="s">
        <v>12</v>
      </c>
      <c r="D10" s="82"/>
      <c r="E10" s="16"/>
      <c r="F10" s="429"/>
      <c r="G10" s="21"/>
      <c r="H10" s="16">
        <v>136</v>
      </c>
      <c r="I10" s="16">
        <f>H10/2</f>
        <v>68</v>
      </c>
      <c r="J10" s="16">
        <f>H10-I10</f>
        <v>68</v>
      </c>
      <c r="K10" s="65"/>
      <c r="L10" s="258">
        <f>H10</f>
        <v>136</v>
      </c>
      <c r="M10" s="621">
        <v>117.2</v>
      </c>
      <c r="N10" s="75">
        <f>L10</f>
        <v>136</v>
      </c>
      <c r="O10" s="66">
        <f>N10/2</f>
        <v>68</v>
      </c>
      <c r="P10" s="287"/>
      <c r="Q10" s="394">
        <f>O10</f>
        <v>68</v>
      </c>
      <c r="R10" s="610">
        <v>115.51</v>
      </c>
      <c r="S10" s="372">
        <f>T10+V10</f>
        <v>136</v>
      </c>
      <c r="T10" s="282">
        <f>Q10</f>
        <v>68</v>
      </c>
      <c r="U10" s="287"/>
      <c r="V10" s="65">
        <f>T10</f>
        <v>68</v>
      </c>
      <c r="W10" s="782">
        <f>S10*0.95</f>
        <v>129.19999999999999</v>
      </c>
      <c r="X10" s="281">
        <f>W10/2</f>
        <v>64.599999999999994</v>
      </c>
      <c r="Y10" s="312"/>
      <c r="Z10" s="393">
        <f>W10-X10</f>
        <v>64.599999999999994</v>
      </c>
      <c r="AA10" s="372">
        <f>AB10+AD10</f>
        <v>136</v>
      </c>
      <c r="AB10" s="20">
        <f>V10</f>
        <v>68</v>
      </c>
      <c r="AC10" s="298"/>
      <c r="AD10" s="20">
        <f>AB10</f>
        <v>68</v>
      </c>
      <c r="AF10" s="783"/>
    </row>
    <row r="11" spans="1:32" ht="15" hidden="1" customHeight="1">
      <c r="A11" s="338"/>
      <c r="B11" s="443" t="s">
        <v>50</v>
      </c>
      <c r="C11" s="339" t="s">
        <v>7</v>
      </c>
      <c r="D11" s="14"/>
      <c r="E11" s="41"/>
      <c r="F11" s="429"/>
      <c r="G11" s="42"/>
      <c r="H11" s="41"/>
      <c r="I11" s="16"/>
      <c r="J11" s="16"/>
      <c r="K11" s="284"/>
      <c r="L11" s="259"/>
      <c r="M11" s="617"/>
      <c r="N11" s="577"/>
      <c r="O11" s="335"/>
      <c r="P11" s="288"/>
      <c r="Q11" s="395"/>
      <c r="R11" s="611"/>
      <c r="S11" s="373"/>
      <c r="T11" s="336"/>
      <c r="U11" s="313"/>
      <c r="V11" s="284"/>
      <c r="W11" s="577"/>
      <c r="X11" s="336"/>
      <c r="Y11" s="313"/>
      <c r="Z11" s="401"/>
      <c r="AA11" s="373"/>
      <c r="AB11" s="27"/>
      <c r="AC11" s="294"/>
      <c r="AD11" s="27"/>
      <c r="AF11" s="783"/>
    </row>
    <row r="12" spans="1:32" s="3" customFormat="1">
      <c r="A12" s="268"/>
      <c r="B12" s="442" t="s">
        <v>141</v>
      </c>
      <c r="C12" s="341" t="s">
        <v>12</v>
      </c>
      <c r="D12" s="105"/>
      <c r="E12" s="135"/>
      <c r="F12" s="434"/>
      <c r="G12" s="14"/>
      <c r="H12" s="21">
        <v>28</v>
      </c>
      <c r="I12" s="16">
        <f>H12/2</f>
        <v>14</v>
      </c>
      <c r="J12" s="16">
        <f>H12-I12</f>
        <v>14</v>
      </c>
      <c r="K12" s="64"/>
      <c r="L12" s="446">
        <f>H12</f>
        <v>28</v>
      </c>
      <c r="M12" s="633">
        <v>16</v>
      </c>
      <c r="N12" s="89">
        <f>L12</f>
        <v>28</v>
      </c>
      <c r="O12" s="447">
        <f>N12/2</f>
        <v>14</v>
      </c>
      <c r="P12" s="448"/>
      <c r="Q12" s="451">
        <f>O12</f>
        <v>14</v>
      </c>
      <c r="R12" s="647">
        <v>17.39</v>
      </c>
      <c r="S12" s="388">
        <f>T12+V12</f>
        <v>28</v>
      </c>
      <c r="T12" s="452">
        <f>Q12</f>
        <v>14</v>
      </c>
      <c r="U12" s="448"/>
      <c r="V12" s="64">
        <f>T12</f>
        <v>14</v>
      </c>
      <c r="W12" s="782">
        <f>S12*0.95</f>
        <v>26.599999999999998</v>
      </c>
      <c r="X12" s="281">
        <f>W12/2</f>
        <v>13.299999999999999</v>
      </c>
      <c r="Y12" s="312"/>
      <c r="Z12" s="393">
        <f>W12-X12</f>
        <v>13.299999999999999</v>
      </c>
      <c r="AA12" s="388">
        <f>AB12+AD12</f>
        <v>28</v>
      </c>
      <c r="AB12" s="14">
        <f>V12</f>
        <v>14</v>
      </c>
      <c r="AC12" s="307"/>
      <c r="AD12" s="14">
        <f>AB12</f>
        <v>14</v>
      </c>
      <c r="AF12" s="785"/>
    </row>
    <row r="13" spans="1:32" s="6" customFormat="1" ht="16.5" hidden="1" customHeight="1">
      <c r="A13" s="338"/>
      <c r="B13" s="443" t="s">
        <v>50</v>
      </c>
      <c r="C13" s="339" t="s">
        <v>12</v>
      </c>
      <c r="D13" s="14"/>
      <c r="E13" s="16"/>
      <c r="F13" s="429"/>
      <c r="G13" s="20"/>
      <c r="H13" s="16"/>
      <c r="I13" s="16"/>
      <c r="J13" s="16"/>
      <c r="K13" s="15"/>
      <c r="L13" s="257"/>
      <c r="M13" s="638"/>
      <c r="N13" s="75"/>
      <c r="O13" s="66"/>
      <c r="P13" s="287"/>
      <c r="Q13" s="394"/>
      <c r="R13" s="610"/>
      <c r="S13" s="371"/>
      <c r="T13" s="282"/>
      <c r="U13" s="287"/>
      <c r="V13" s="650"/>
      <c r="W13" s="658"/>
      <c r="X13" s="282"/>
      <c r="Y13" s="287"/>
      <c r="Z13" s="659"/>
      <c r="AA13" s="371"/>
      <c r="AB13" s="22"/>
      <c r="AC13" s="317"/>
      <c r="AD13" s="22"/>
      <c r="AF13" s="786"/>
    </row>
    <row r="14" spans="1:32" s="6" customFormat="1" ht="16.5" customHeight="1">
      <c r="A14" s="338"/>
      <c r="B14" s="442" t="s">
        <v>201</v>
      </c>
      <c r="C14" s="339" t="s">
        <v>12</v>
      </c>
      <c r="D14" s="14"/>
      <c r="E14" s="16"/>
      <c r="F14" s="429"/>
      <c r="G14" s="20"/>
      <c r="H14" s="16">
        <v>48</v>
      </c>
      <c r="I14" s="16">
        <f>H14/2</f>
        <v>24</v>
      </c>
      <c r="J14" s="16">
        <f>H14-I14</f>
        <v>24</v>
      </c>
      <c r="K14" s="15"/>
      <c r="L14" s="257">
        <f>H14</f>
        <v>48</v>
      </c>
      <c r="M14" s="638">
        <v>39.6</v>
      </c>
      <c r="N14" s="75">
        <f>L14</f>
        <v>48</v>
      </c>
      <c r="O14" s="66">
        <f>N14/2</f>
        <v>24</v>
      </c>
      <c r="P14" s="287"/>
      <c r="Q14" s="394">
        <f>O14</f>
        <v>24</v>
      </c>
      <c r="R14" s="610">
        <v>39.53</v>
      </c>
      <c r="S14" s="371">
        <f>T14+V14</f>
        <v>48</v>
      </c>
      <c r="T14" s="282">
        <f>Q14</f>
        <v>24</v>
      </c>
      <c r="U14" s="287"/>
      <c r="V14" s="650">
        <f>T14</f>
        <v>24</v>
      </c>
      <c r="W14" s="782">
        <f>S14*0.95</f>
        <v>45.599999999999994</v>
      </c>
      <c r="X14" s="281">
        <f>W14/2</f>
        <v>22.799999999999997</v>
      </c>
      <c r="Y14" s="312"/>
      <c r="Z14" s="393">
        <f>W14-X14</f>
        <v>22.799999999999997</v>
      </c>
      <c r="AA14" s="371">
        <f>AB14+AD14</f>
        <v>48</v>
      </c>
      <c r="AB14" s="22">
        <f>V14</f>
        <v>24</v>
      </c>
      <c r="AC14" s="317"/>
      <c r="AD14" s="22">
        <f>AB14</f>
        <v>24</v>
      </c>
      <c r="AF14" s="786"/>
    </row>
    <row r="15" spans="1:32" s="6" customFormat="1" ht="16.5" customHeight="1">
      <c r="A15" s="338"/>
      <c r="B15" s="163" t="s">
        <v>297</v>
      </c>
      <c r="C15" s="278" t="s">
        <v>12</v>
      </c>
      <c r="D15" s="14"/>
      <c r="E15" s="278"/>
      <c r="F15" s="429"/>
      <c r="G15" s="77"/>
      <c r="H15" s="549">
        <v>212</v>
      </c>
      <c r="I15" s="549">
        <f>H15/2</f>
        <v>106</v>
      </c>
      <c r="J15" s="549">
        <f>H15-I15</f>
        <v>106</v>
      </c>
      <c r="K15" s="345"/>
      <c r="L15" s="261">
        <f>H15</f>
        <v>212</v>
      </c>
      <c r="M15" s="639">
        <v>172.8</v>
      </c>
      <c r="N15" s="76">
        <f>L15</f>
        <v>212</v>
      </c>
      <c r="O15" s="67">
        <f>N15/2</f>
        <v>106</v>
      </c>
      <c r="P15" s="290"/>
      <c r="Q15" s="397">
        <f>O15</f>
        <v>106</v>
      </c>
      <c r="R15" s="613">
        <v>172.43</v>
      </c>
      <c r="S15" s="375">
        <f>T15+V15</f>
        <v>212</v>
      </c>
      <c r="T15" s="264">
        <f>Q15</f>
        <v>106</v>
      </c>
      <c r="U15" s="290"/>
      <c r="V15" s="651">
        <f>T15</f>
        <v>106</v>
      </c>
      <c r="W15" s="782">
        <f>S15*0.95</f>
        <v>201.39999999999998</v>
      </c>
      <c r="X15" s="281">
        <f>W15/2</f>
        <v>100.69999999999999</v>
      </c>
      <c r="Y15" s="312"/>
      <c r="Z15" s="393">
        <f>W15-X15</f>
        <v>100.69999999999999</v>
      </c>
      <c r="AA15" s="375">
        <f>AB15+AD15</f>
        <v>212</v>
      </c>
      <c r="AB15" s="35">
        <f>V15</f>
        <v>106</v>
      </c>
      <c r="AC15" s="318"/>
      <c r="AD15" s="35">
        <f>AB15</f>
        <v>106</v>
      </c>
      <c r="AF15" s="786"/>
    </row>
    <row r="16" spans="1:32" s="2" customFormat="1">
      <c r="A16" s="815" t="s">
        <v>26</v>
      </c>
      <c r="B16" s="815"/>
      <c r="C16" s="18" t="s">
        <v>4</v>
      </c>
      <c r="D16" s="280"/>
      <c r="E16" s="280"/>
      <c r="F16" s="430"/>
      <c r="G16" s="19"/>
      <c r="H16" s="19">
        <f>H18+H59+H70</f>
        <v>5124.9699999999993</v>
      </c>
      <c r="I16" s="19">
        <f>I18+I59+I70</f>
        <v>2459.2000000000003</v>
      </c>
      <c r="J16" s="19">
        <f>J18+J59+J70</f>
        <v>2665.77</v>
      </c>
      <c r="K16" s="62"/>
      <c r="L16" s="563">
        <f>L18+L59+L70</f>
        <v>5885.2057062600015</v>
      </c>
      <c r="M16" s="614"/>
      <c r="N16" s="70">
        <f>O16+Q16</f>
        <v>5213.7433222434638</v>
      </c>
      <c r="O16" s="19">
        <f>O18+O59+O70</f>
        <v>2546.4251798687346</v>
      </c>
      <c r="P16" s="291"/>
      <c r="Q16" s="398">
        <f>Q18+Q59+Q70</f>
        <v>2667.3181423747292</v>
      </c>
      <c r="R16" s="614">
        <f>R85</f>
        <v>3547.2499999999995</v>
      </c>
      <c r="S16" s="361">
        <f>T16+V16</f>
        <v>5472.7562344073976</v>
      </c>
      <c r="T16" s="19">
        <f>T18+T59+T70</f>
        <v>2667.3181423747292</v>
      </c>
      <c r="U16" s="291"/>
      <c r="V16" s="62">
        <f>V18+V59+V70</f>
        <v>2805.4380920326685</v>
      </c>
      <c r="W16" s="70">
        <v>5472.7562344073976</v>
      </c>
      <c r="X16" s="19">
        <v>2667.3181423747292</v>
      </c>
      <c r="Y16" s="291"/>
      <c r="Z16" s="398">
        <v>2805.4380920326685</v>
      </c>
      <c r="AA16" s="361">
        <f>AB16+AD16</f>
        <v>5728.4317095691122</v>
      </c>
      <c r="AB16" s="19">
        <f>AB18+AB59+AB70</f>
        <v>2805.4380920326685</v>
      </c>
      <c r="AC16" s="291"/>
      <c r="AD16" s="19">
        <f>AD18+AD59+AD70</f>
        <v>2922.9936175364437</v>
      </c>
      <c r="AF16" s="787"/>
    </row>
    <row r="17" spans="1:32" s="129" customFormat="1">
      <c r="A17" s="121"/>
      <c r="B17" s="104" t="s">
        <v>173</v>
      </c>
      <c r="C17" s="121"/>
      <c r="D17" s="121"/>
      <c r="E17" s="19"/>
      <c r="F17" s="432"/>
      <c r="G17" s="362"/>
      <c r="H17" s="362"/>
      <c r="I17" s="362"/>
      <c r="J17" s="362"/>
      <c r="K17" s="368"/>
      <c r="L17" s="563"/>
      <c r="M17" s="614"/>
      <c r="N17" s="578"/>
      <c r="O17" s="19"/>
      <c r="P17" s="291"/>
      <c r="Q17" s="398"/>
      <c r="R17" s="614"/>
      <c r="S17" s="376">
        <f>S16/N16</f>
        <v>1.0496788767983463</v>
      </c>
      <c r="T17" s="269"/>
      <c r="U17" s="315"/>
      <c r="V17" s="652"/>
      <c r="W17" s="662">
        <v>1.0496788767983463</v>
      </c>
      <c r="X17" s="269"/>
      <c r="Y17" s="315"/>
      <c r="Z17" s="663"/>
      <c r="AA17" s="376">
        <f>AA16/S16</f>
        <v>1.0467178628483897</v>
      </c>
      <c r="AB17" s="269"/>
      <c r="AC17" s="315"/>
      <c r="AD17" s="270">
        <f>AD16/V16</f>
        <v>1.0419027337789517</v>
      </c>
      <c r="AF17" s="788"/>
    </row>
    <row r="18" spans="1:32" s="128" customFormat="1">
      <c r="A18" s="94" t="s">
        <v>17</v>
      </c>
      <c r="B18" s="95" t="s">
        <v>5</v>
      </c>
      <c r="C18" s="96" t="s">
        <v>36</v>
      </c>
      <c r="D18" s="73"/>
      <c r="E18" s="73"/>
      <c r="F18" s="73"/>
      <c r="G18" s="73"/>
      <c r="H18" s="73">
        <f>H25+H29+H30+H31+H33+H36+H37+H48+H50+H53+H58</f>
        <v>4612.2199999999993</v>
      </c>
      <c r="I18" s="73">
        <f>I25+I29+I30+I31+I33+I36+I37+I48+I50+I53+I58</f>
        <v>2212.1800000000003</v>
      </c>
      <c r="J18" s="73">
        <f>J25+J29+J30+J31+J33+J36+J37+J48+J50+J53+J58</f>
        <v>2400.0550000000003</v>
      </c>
      <c r="K18" s="97"/>
      <c r="L18" s="564">
        <f>L25+L29+L30+L31+L33+L36+L37+L48+L50+L53+L58</f>
        <v>5309.8747062600014</v>
      </c>
      <c r="M18" s="615">
        <f>M25+M29+M30+M31+M33+M36+M37+M44+M47+M48+M50+M53+M58</f>
        <v>2850.13</v>
      </c>
      <c r="N18" s="72">
        <f>O18+Q18</f>
        <v>4645.394930118764</v>
      </c>
      <c r="O18" s="73">
        <f>O25+O29+O31+O33+O36+O37+O48+O50+O53+O58+O30+O44+O47</f>
        <v>2271.5962258327345</v>
      </c>
      <c r="P18" s="292"/>
      <c r="Q18" s="399">
        <f>Q25+Q29+Q31+Q33+Q36+Q37+Q48+Q50+Q53+Q58+Q30+Q44+Q47</f>
        <v>2373.7987042860291</v>
      </c>
      <c r="R18" s="615">
        <f>R25+R29+R30+R31+R33+R36+R37+R44+R47+R48+R50+R53+R58</f>
        <v>3138.9399999999996</v>
      </c>
      <c r="S18" s="377">
        <f>T18+V18</f>
        <v>4864.8630645637877</v>
      </c>
      <c r="T18" s="73">
        <f>Q18</f>
        <v>2373.7987042860291</v>
      </c>
      <c r="U18" s="321">
        <f>(1-S19)*(1+S20)*(1+S22)</f>
        <v>1.0494000000000001</v>
      </c>
      <c r="V18" s="97">
        <f>Q18*(1-S19)*(1+S20)*(1+S22)</f>
        <v>2491.0643602777591</v>
      </c>
      <c r="W18" s="72">
        <f>X18+Z18</f>
        <v>4817.8618502189247</v>
      </c>
      <c r="X18" s="73">
        <f>Q18</f>
        <v>2373.7987042860291</v>
      </c>
      <c r="Y18" s="796">
        <f>(1*(1-W19)*(1+W20))</f>
        <v>1.0296000000000001</v>
      </c>
      <c r="Z18" s="399">
        <f>X18*Y18</f>
        <v>2444.0631459328956</v>
      </c>
      <c r="AA18" s="377">
        <f>AB18+AD18</f>
        <v>5080.5257627864894</v>
      </c>
      <c r="AB18" s="73">
        <f>V18</f>
        <v>2491.0643602777591</v>
      </c>
      <c r="AC18" s="321">
        <f>(1-AA19)*(1+AA20)*(1+AA22)</f>
        <v>1.0395000000000001</v>
      </c>
      <c r="AD18" s="73">
        <f>AB18*(1-AA19)*(1+AA20)*(1+AA22)</f>
        <v>2589.4614025087303</v>
      </c>
      <c r="AF18" s="799">
        <f>W18-S18</f>
        <v>-47.001214344863001</v>
      </c>
    </row>
    <row r="19" spans="1:32" s="4" customFormat="1" ht="12.75">
      <c r="A19" s="38"/>
      <c r="B19" s="24" t="s">
        <v>6</v>
      </c>
      <c r="C19" s="12" t="s">
        <v>7</v>
      </c>
      <c r="D19" s="12"/>
      <c r="E19" s="12"/>
      <c r="F19" s="84"/>
      <c r="G19" s="12"/>
      <c r="H19" s="12"/>
      <c r="I19" s="20"/>
      <c r="J19" s="20"/>
      <c r="K19" s="63"/>
      <c r="L19" s="565"/>
      <c r="M19" s="619"/>
      <c r="N19" s="579"/>
      <c r="O19" s="25"/>
      <c r="P19" s="293"/>
      <c r="Q19" s="400">
        <v>0.01</v>
      </c>
      <c r="R19" s="616"/>
      <c r="S19" s="378">
        <v>0.01</v>
      </c>
      <c r="T19" s="26"/>
      <c r="U19" s="316"/>
      <c r="V19" s="653"/>
      <c r="W19" s="579">
        <v>0.01</v>
      </c>
      <c r="X19" s="26"/>
      <c r="Y19" s="316"/>
      <c r="Z19" s="664"/>
      <c r="AA19" s="378">
        <v>0.01</v>
      </c>
      <c r="AB19" s="25"/>
      <c r="AC19" s="293"/>
      <c r="AD19" s="25"/>
      <c r="AF19" s="790"/>
    </row>
    <row r="20" spans="1:32" s="4" customFormat="1" ht="12.75">
      <c r="A20" s="38"/>
      <c r="B20" s="24" t="s">
        <v>21</v>
      </c>
      <c r="C20" s="12" t="s">
        <v>7</v>
      </c>
      <c r="D20" s="12"/>
      <c r="E20" s="12"/>
      <c r="F20" s="84"/>
      <c r="G20" s="12"/>
      <c r="H20" s="12"/>
      <c r="I20" s="20"/>
      <c r="J20" s="20"/>
      <c r="K20" s="63"/>
      <c r="L20" s="565"/>
      <c r="M20" s="619"/>
      <c r="N20" s="577"/>
      <c r="O20" s="27"/>
      <c r="P20" s="294"/>
      <c r="Q20" s="401">
        <v>6.4000000000000001E-2</v>
      </c>
      <c r="R20" s="617"/>
      <c r="S20" s="373">
        <v>0.06</v>
      </c>
      <c r="T20" s="27"/>
      <c r="U20" s="294"/>
      <c r="V20" s="284"/>
      <c r="W20" s="577">
        <v>0.04</v>
      </c>
      <c r="X20" s="27"/>
      <c r="Y20" s="294"/>
      <c r="Z20" s="401"/>
      <c r="AA20" s="373">
        <v>0.05</v>
      </c>
      <c r="AB20" s="27"/>
      <c r="AC20" s="294"/>
      <c r="AD20" s="27"/>
      <c r="AF20" s="790"/>
    </row>
    <row r="21" spans="1:32" s="4" customFormat="1" ht="12.75">
      <c r="A21" s="38"/>
      <c r="B21" s="28" t="s">
        <v>11</v>
      </c>
      <c r="C21" s="12" t="s">
        <v>7</v>
      </c>
      <c r="D21" s="12"/>
      <c r="E21" s="12"/>
      <c r="F21" s="84"/>
      <c r="G21" s="12"/>
      <c r="H21" s="12"/>
      <c r="I21" s="20"/>
      <c r="J21" s="20"/>
      <c r="K21" s="63"/>
      <c r="L21" s="565"/>
      <c r="M21" s="619"/>
      <c r="N21" s="580"/>
      <c r="O21" s="69"/>
      <c r="P21" s="295"/>
      <c r="Q21" s="402">
        <v>1.075</v>
      </c>
      <c r="R21" s="618"/>
      <c r="S21" s="379">
        <v>1.07</v>
      </c>
      <c r="T21" s="30"/>
      <c r="U21" s="319"/>
      <c r="V21" s="654"/>
      <c r="W21" s="580">
        <v>5.0999999999999997E-2</v>
      </c>
      <c r="X21" s="69"/>
      <c r="Y21" s="319"/>
      <c r="Z21" s="402"/>
      <c r="AA21" s="379">
        <v>1.0620000000000001</v>
      </c>
      <c r="AB21" s="30"/>
      <c r="AC21" s="319"/>
      <c r="AD21" s="24"/>
      <c r="AF21" s="790"/>
    </row>
    <row r="22" spans="1:32" s="1" customFormat="1">
      <c r="A22" s="38"/>
      <c r="B22" s="24" t="s">
        <v>75</v>
      </c>
      <c r="C22" s="12" t="s">
        <v>7</v>
      </c>
      <c r="D22" s="12"/>
      <c r="E22" s="12"/>
      <c r="F22" s="84"/>
      <c r="G22" s="12"/>
      <c r="H22" s="12"/>
      <c r="I22" s="20"/>
      <c r="J22" s="20"/>
      <c r="K22" s="65"/>
      <c r="L22" s="565"/>
      <c r="M22" s="619"/>
      <c r="N22" s="68"/>
      <c r="O22" s="12"/>
      <c r="P22" s="296"/>
      <c r="Q22" s="403">
        <v>0</v>
      </c>
      <c r="R22" s="619"/>
      <c r="S22" s="380">
        <v>0</v>
      </c>
      <c r="T22" s="12">
        <v>0</v>
      </c>
      <c r="U22" s="296"/>
      <c r="V22" s="63">
        <v>0</v>
      </c>
      <c r="W22" s="68">
        <v>0</v>
      </c>
      <c r="X22" s="12">
        <v>0</v>
      </c>
      <c r="Y22" s="296"/>
      <c r="Z22" s="403">
        <v>0</v>
      </c>
      <c r="AA22" s="380">
        <v>0</v>
      </c>
      <c r="AB22" s="12">
        <v>0</v>
      </c>
      <c r="AC22" s="296"/>
      <c r="AD22" s="61">
        <v>0</v>
      </c>
      <c r="AF22" s="791"/>
    </row>
    <row r="23" spans="1:32" s="1" customFormat="1">
      <c r="A23" s="98" t="s">
        <v>18</v>
      </c>
      <c r="B23" s="99" t="s">
        <v>13</v>
      </c>
      <c r="C23" s="12"/>
      <c r="D23" s="12"/>
      <c r="E23" s="12"/>
      <c r="F23" s="84"/>
      <c r="G23" s="32"/>
      <c r="H23" s="32"/>
      <c r="I23" s="32"/>
      <c r="J23" s="32"/>
      <c r="K23" s="91"/>
      <c r="L23" s="566"/>
      <c r="M23" s="620"/>
      <c r="N23" s="74"/>
      <c r="O23" s="32"/>
      <c r="P23" s="297"/>
      <c r="Q23" s="404"/>
      <c r="R23" s="620"/>
      <c r="S23" s="372"/>
      <c r="T23" s="20"/>
      <c r="U23" s="298"/>
      <c r="V23" s="65"/>
      <c r="W23" s="75"/>
      <c r="X23" s="20"/>
      <c r="Y23" s="298"/>
      <c r="Z23" s="405"/>
      <c r="AA23" s="372"/>
      <c r="AB23" s="20"/>
      <c r="AC23" s="298"/>
      <c r="AD23" s="92"/>
      <c r="AF23" s="791"/>
    </row>
    <row r="24" spans="1:32" s="1" customFormat="1">
      <c r="A24" s="38" t="s">
        <v>42</v>
      </c>
      <c r="B24" s="100" t="s">
        <v>53</v>
      </c>
      <c r="C24" s="101" t="s">
        <v>4</v>
      </c>
      <c r="D24" s="101"/>
      <c r="E24" s="101"/>
      <c r="F24" s="84"/>
      <c r="G24" s="32"/>
      <c r="H24" s="20"/>
      <c r="I24" s="20"/>
      <c r="J24" s="20"/>
      <c r="K24" s="65"/>
      <c r="L24" s="566"/>
      <c r="M24" s="620"/>
      <c r="N24" s="75"/>
      <c r="O24" s="20"/>
      <c r="P24" s="298"/>
      <c r="Q24" s="405"/>
      <c r="R24" s="621"/>
      <c r="S24" s="372"/>
      <c r="T24" s="20"/>
      <c r="U24" s="298"/>
      <c r="V24" s="65"/>
      <c r="W24" s="75"/>
      <c r="X24" s="20"/>
      <c r="Y24" s="298"/>
      <c r="Z24" s="405"/>
      <c r="AA24" s="372"/>
      <c r="AB24" s="20"/>
      <c r="AC24" s="298"/>
      <c r="AD24" s="92"/>
      <c r="AF24" s="791"/>
    </row>
    <row r="25" spans="1:32" s="1" customFormat="1">
      <c r="A25" s="38" t="s">
        <v>42</v>
      </c>
      <c r="B25" s="24" t="s">
        <v>64</v>
      </c>
      <c r="C25" s="101" t="s">
        <v>4</v>
      </c>
      <c r="D25" s="329"/>
      <c r="E25" s="329"/>
      <c r="F25" s="360"/>
      <c r="G25" s="32"/>
      <c r="H25" s="32">
        <v>1094.5999999999999</v>
      </c>
      <c r="I25" s="32">
        <v>532.65</v>
      </c>
      <c r="J25" s="32">
        <v>561.95000000000005</v>
      </c>
      <c r="K25" s="91"/>
      <c r="L25" s="566">
        <f>L26*L27*12/1000</f>
        <v>1236.2803200000003</v>
      </c>
      <c r="M25" s="620">
        <v>933</v>
      </c>
      <c r="N25" s="74">
        <f>O25+Q25</f>
        <v>1159.8557184000001</v>
      </c>
      <c r="O25" s="32">
        <f>O26*O27*6/1000</f>
        <v>561.94560000000013</v>
      </c>
      <c r="P25" s="320">
        <v>1.0640000000000001</v>
      </c>
      <c r="Q25" s="404">
        <f>Q26*Q27*6/1000</f>
        <v>597.91011839999999</v>
      </c>
      <c r="R25" s="620">
        <v>1000.43</v>
      </c>
      <c r="S25" s="381"/>
      <c r="T25" s="20"/>
      <c r="U25" s="311">
        <v>1.06</v>
      </c>
      <c r="V25" s="65"/>
      <c r="W25" s="74"/>
      <c r="X25" s="20"/>
      <c r="Y25" s="311">
        <v>1.06</v>
      </c>
      <c r="Z25" s="405"/>
      <c r="AA25" s="372" t="s">
        <v>45</v>
      </c>
      <c r="AB25" s="20"/>
      <c r="AC25" s="311">
        <v>1.05</v>
      </c>
      <c r="AD25" s="92"/>
      <c r="AF25" s="791"/>
    </row>
    <row r="26" spans="1:32" s="130" customFormat="1" ht="12.75">
      <c r="A26" s="102"/>
      <c r="B26" s="28" t="s">
        <v>14</v>
      </c>
      <c r="C26" s="101" t="s">
        <v>55</v>
      </c>
      <c r="D26" s="330"/>
      <c r="E26" s="77"/>
      <c r="F26" s="436"/>
      <c r="G26" s="77"/>
      <c r="H26" s="80">
        <v>8</v>
      </c>
      <c r="I26" s="77">
        <v>8</v>
      </c>
      <c r="J26" s="77">
        <v>8</v>
      </c>
      <c r="K26" s="103"/>
      <c r="L26" s="567">
        <f>J26</f>
        <v>8</v>
      </c>
      <c r="M26" s="625">
        <v>8</v>
      </c>
      <c r="N26" s="76">
        <f>J26</f>
        <v>8</v>
      </c>
      <c r="O26" s="77">
        <f>L26</f>
        <v>8</v>
      </c>
      <c r="P26" s="299"/>
      <c r="Q26" s="406">
        <f>L26</f>
        <v>8</v>
      </c>
      <c r="R26" s="622">
        <v>8</v>
      </c>
      <c r="S26" s="382"/>
      <c r="T26" s="88"/>
      <c r="U26" s="304"/>
      <c r="V26" s="120"/>
      <c r="W26" s="87"/>
      <c r="X26" s="88"/>
      <c r="Y26" s="304"/>
      <c r="Z26" s="411"/>
      <c r="AA26" s="382"/>
      <c r="AB26" s="88"/>
      <c r="AC26" s="304"/>
      <c r="AD26" s="88"/>
      <c r="AF26" s="792"/>
    </row>
    <row r="27" spans="1:32" s="130" customFormat="1" ht="12.75">
      <c r="A27" s="102"/>
      <c r="B27" s="28" t="s">
        <v>15</v>
      </c>
      <c r="C27" s="101" t="s">
        <v>56</v>
      </c>
      <c r="D27" s="330"/>
      <c r="E27" s="77"/>
      <c r="F27" s="436"/>
      <c r="G27" s="77"/>
      <c r="H27" s="80">
        <v>11402.04</v>
      </c>
      <c r="I27" s="77">
        <v>11096.88</v>
      </c>
      <c r="J27" s="77">
        <v>11707.2</v>
      </c>
      <c r="K27" s="103"/>
      <c r="L27" s="567">
        <f>J27*1.1</f>
        <v>12877.920000000002</v>
      </c>
      <c r="M27" s="625">
        <v>12958.33</v>
      </c>
      <c r="N27" s="76">
        <f>N25/N26/12*1000</f>
        <v>12081.830400000001</v>
      </c>
      <c r="O27" s="77">
        <f>J27</f>
        <v>11707.2</v>
      </c>
      <c r="P27" s="299"/>
      <c r="Q27" s="406">
        <f>O27*P25</f>
        <v>12456.460800000001</v>
      </c>
      <c r="R27" s="622">
        <v>13894.86</v>
      </c>
      <c r="S27" s="382"/>
      <c r="T27" s="88"/>
      <c r="U27" s="304"/>
      <c r="V27" s="120"/>
      <c r="W27" s="87"/>
      <c r="X27" s="88"/>
      <c r="Y27" s="304"/>
      <c r="Z27" s="411"/>
      <c r="AA27" s="382"/>
      <c r="AB27" s="88"/>
      <c r="AC27" s="304"/>
      <c r="AD27" s="93"/>
      <c r="AF27" s="792"/>
    </row>
    <row r="28" spans="1:32" s="130" customFormat="1" ht="12.75">
      <c r="A28" s="102"/>
      <c r="B28" s="351" t="s">
        <v>180</v>
      </c>
      <c r="C28" s="352" t="s">
        <v>56</v>
      </c>
      <c r="D28" s="330"/>
      <c r="E28" s="353"/>
      <c r="F28" s="433"/>
      <c r="G28" s="454"/>
      <c r="H28" s="547">
        <v>7056</v>
      </c>
      <c r="I28" s="353"/>
      <c r="J28" s="353"/>
      <c r="K28" s="454"/>
      <c r="L28" s="568"/>
      <c r="M28" s="641">
        <v>7056</v>
      </c>
      <c r="N28" s="76"/>
      <c r="O28" s="77"/>
      <c r="P28" s="299"/>
      <c r="Q28" s="406"/>
      <c r="R28" s="622">
        <v>7056</v>
      </c>
      <c r="S28" s="382"/>
      <c r="T28" s="88"/>
      <c r="U28" s="304"/>
      <c r="V28" s="120"/>
      <c r="W28" s="87"/>
      <c r="X28" s="88"/>
      <c r="Y28" s="304"/>
      <c r="Z28" s="411"/>
      <c r="AA28" s="382"/>
      <c r="AB28" s="88"/>
      <c r="AC28" s="304"/>
      <c r="AD28" s="93"/>
      <c r="AF28" s="792"/>
    </row>
    <row r="29" spans="1:32" s="1" customFormat="1">
      <c r="A29" s="38" t="s">
        <v>43</v>
      </c>
      <c r="B29" s="110" t="s">
        <v>185</v>
      </c>
      <c r="C29" s="111" t="s">
        <v>36</v>
      </c>
      <c r="D29" s="331"/>
      <c r="E29" s="329"/>
      <c r="F29" s="360"/>
      <c r="G29" s="82"/>
      <c r="H29" s="32">
        <v>330.57</v>
      </c>
      <c r="I29" s="82">
        <v>160.86000000000001</v>
      </c>
      <c r="J29" s="82">
        <v>169.71</v>
      </c>
      <c r="K29" s="112"/>
      <c r="L29" s="569">
        <f>L25*0.302</f>
        <v>373.3566566400001</v>
      </c>
      <c r="M29" s="623">
        <v>281.7</v>
      </c>
      <c r="N29" s="81">
        <f>O29+Q29</f>
        <v>350.27642695680004</v>
      </c>
      <c r="O29" s="82">
        <f>O25*0.302</f>
        <v>169.70757120000005</v>
      </c>
      <c r="P29" s="300"/>
      <c r="Q29" s="407">
        <f>Q25*0.302</f>
        <v>180.56885575679999</v>
      </c>
      <c r="R29" s="623">
        <v>301.95</v>
      </c>
      <c r="S29" s="372"/>
      <c r="T29" s="20"/>
      <c r="U29" s="298"/>
      <c r="V29" s="65"/>
      <c r="W29" s="75"/>
      <c r="X29" s="20"/>
      <c r="Y29" s="298"/>
      <c r="Z29" s="405"/>
      <c r="AA29" s="372"/>
      <c r="AB29" s="20"/>
      <c r="AC29" s="298"/>
      <c r="AD29" s="20"/>
      <c r="AF29" s="791"/>
    </row>
    <row r="30" spans="1:32" s="1" customFormat="1">
      <c r="A30" s="38" t="s">
        <v>57</v>
      </c>
      <c r="B30" s="110" t="s">
        <v>176</v>
      </c>
      <c r="C30" s="111" t="s">
        <v>36</v>
      </c>
      <c r="D30" s="331"/>
      <c r="E30" s="329"/>
      <c r="F30" s="84"/>
      <c r="G30" s="82"/>
      <c r="H30" s="82">
        <v>42.8</v>
      </c>
      <c r="I30" s="82">
        <v>21.4</v>
      </c>
      <c r="J30" s="82">
        <v>21.4</v>
      </c>
      <c r="K30" s="112"/>
      <c r="L30" s="569">
        <v>114.34</v>
      </c>
      <c r="M30" s="623">
        <v>10.3</v>
      </c>
      <c r="N30" s="81">
        <f>O30+Q30</f>
        <v>42.8</v>
      </c>
      <c r="O30" s="82">
        <f>J30</f>
        <v>21.4</v>
      </c>
      <c r="P30" s="300"/>
      <c r="Q30" s="407">
        <f>O30</f>
        <v>21.4</v>
      </c>
      <c r="R30" s="623">
        <v>40.880000000000003</v>
      </c>
      <c r="S30" s="372"/>
      <c r="T30" s="20"/>
      <c r="U30" s="298"/>
      <c r="V30" s="65"/>
      <c r="W30" s="75"/>
      <c r="X30" s="20"/>
      <c r="Y30" s="298"/>
      <c r="Z30" s="405"/>
      <c r="AA30" s="372"/>
      <c r="AB30" s="20"/>
      <c r="AC30" s="298"/>
      <c r="AD30" s="20"/>
      <c r="AF30" s="791"/>
    </row>
    <row r="31" spans="1:32" s="1" customFormat="1">
      <c r="A31" s="38" t="s">
        <v>177</v>
      </c>
      <c r="B31" s="107" t="s">
        <v>68</v>
      </c>
      <c r="C31" s="111" t="s">
        <v>36</v>
      </c>
      <c r="D31" s="340"/>
      <c r="E31" s="340"/>
      <c r="F31" s="360"/>
      <c r="G31" s="32"/>
      <c r="H31" s="32">
        <v>148.69</v>
      </c>
      <c r="I31" s="32">
        <v>71.349999999999994</v>
      </c>
      <c r="J31" s="32">
        <v>77.34</v>
      </c>
      <c r="K31" s="91"/>
      <c r="L31" s="566">
        <v>161.25</v>
      </c>
      <c r="M31" s="620">
        <v>0</v>
      </c>
      <c r="N31" s="81">
        <f>O31+Q31</f>
        <v>148.69</v>
      </c>
      <c r="O31" s="82">
        <f>H31/2</f>
        <v>74.344999999999999</v>
      </c>
      <c r="P31" s="320">
        <f>P37</f>
        <v>1.0569999999999999</v>
      </c>
      <c r="Q31" s="407">
        <f>O31</f>
        <v>74.344999999999999</v>
      </c>
      <c r="R31" s="623">
        <v>0</v>
      </c>
      <c r="S31" s="372"/>
      <c r="T31" s="20"/>
      <c r="U31" s="298"/>
      <c r="V31" s="65"/>
      <c r="W31" s="75"/>
      <c r="X31" s="20"/>
      <c r="Y31" s="298"/>
      <c r="Z31" s="405"/>
      <c r="AA31" s="372"/>
      <c r="AB31" s="20"/>
      <c r="AC31" s="298"/>
      <c r="AD31" s="20"/>
      <c r="AF31" s="791"/>
    </row>
    <row r="32" spans="1:32" s="1" customFormat="1">
      <c r="A32" s="98" t="s">
        <v>19</v>
      </c>
      <c r="B32" s="99" t="s">
        <v>16</v>
      </c>
      <c r="C32" s="12"/>
      <c r="D32" s="12"/>
      <c r="E32" s="12"/>
      <c r="F32" s="84"/>
      <c r="G32" s="32"/>
      <c r="H32" s="32"/>
      <c r="I32" s="32"/>
      <c r="J32" s="32"/>
      <c r="K32" s="91"/>
      <c r="L32" s="566"/>
      <c r="M32" s="620"/>
      <c r="N32" s="74"/>
      <c r="O32" s="32"/>
      <c r="P32" s="297"/>
      <c r="Q32" s="404"/>
      <c r="R32" s="620"/>
      <c r="S32" s="372"/>
      <c r="T32" s="20"/>
      <c r="U32" s="298"/>
      <c r="V32" s="65"/>
      <c r="W32" s="75"/>
      <c r="X32" s="20"/>
      <c r="Y32" s="298"/>
      <c r="Z32" s="405"/>
      <c r="AA32" s="372"/>
      <c r="AB32" s="20"/>
      <c r="AC32" s="298"/>
      <c r="AD32" s="92"/>
      <c r="AF32" s="791"/>
    </row>
    <row r="33" spans="1:32" s="1" customFormat="1">
      <c r="A33" s="38" t="s">
        <v>58</v>
      </c>
      <c r="B33" s="24" t="s">
        <v>88</v>
      </c>
      <c r="C33" s="101" t="s">
        <v>4</v>
      </c>
      <c r="D33" s="101"/>
      <c r="E33" s="101"/>
      <c r="F33" s="360"/>
      <c r="G33" s="32"/>
      <c r="H33" s="360">
        <v>590.07000000000005</v>
      </c>
      <c r="I33" s="32">
        <v>287.14</v>
      </c>
      <c r="J33" s="32">
        <v>302.93</v>
      </c>
      <c r="K33" s="91"/>
      <c r="L33" s="566">
        <f>L34*L35*12/1000</f>
        <v>666.45051000000012</v>
      </c>
      <c r="M33" s="620">
        <v>310</v>
      </c>
      <c r="N33" s="74">
        <f>O33+Q33</f>
        <v>625.25175120000006</v>
      </c>
      <c r="O33" s="32">
        <f>O35*O34*6/1000</f>
        <v>302.93205000000006</v>
      </c>
      <c r="P33" s="311">
        <v>1.0640000000000001</v>
      </c>
      <c r="Q33" s="404">
        <f>Q34*Q35*6/1000</f>
        <v>322.3197012</v>
      </c>
      <c r="R33" s="620">
        <v>333.29</v>
      </c>
      <c r="S33" s="372"/>
      <c r="T33" s="20"/>
      <c r="U33" s="311">
        <v>1.06</v>
      </c>
      <c r="V33" s="65"/>
      <c r="W33" s="75"/>
      <c r="X33" s="20"/>
      <c r="Y33" s="311">
        <v>1.06</v>
      </c>
      <c r="Z33" s="405"/>
      <c r="AA33" s="372"/>
      <c r="AB33" s="20"/>
      <c r="AC33" s="311">
        <v>1.05</v>
      </c>
      <c r="AD33" s="92"/>
      <c r="AF33" s="791"/>
    </row>
    <row r="34" spans="1:32" s="1" customFormat="1">
      <c r="A34" s="38"/>
      <c r="B34" s="28" t="s">
        <v>14</v>
      </c>
      <c r="C34" s="101" t="s">
        <v>55</v>
      </c>
      <c r="D34" s="101"/>
      <c r="E34" s="101"/>
      <c r="F34" s="436"/>
      <c r="G34" s="77"/>
      <c r="H34" s="93">
        <v>2.5</v>
      </c>
      <c r="I34" s="80">
        <v>2.5</v>
      </c>
      <c r="J34" s="80">
        <v>2.5</v>
      </c>
      <c r="K34" s="108"/>
      <c r="L34" s="567">
        <f>J34</f>
        <v>2.5</v>
      </c>
      <c r="M34" s="625">
        <v>2</v>
      </c>
      <c r="N34" s="79">
        <f>J34</f>
        <v>2.5</v>
      </c>
      <c r="O34" s="80">
        <f>J34</f>
        <v>2.5</v>
      </c>
      <c r="P34" s="299"/>
      <c r="Q34" s="406">
        <f>J34</f>
        <v>2.5</v>
      </c>
      <c r="R34" s="622">
        <v>2</v>
      </c>
      <c r="S34" s="372"/>
      <c r="T34" s="20"/>
      <c r="U34" s="298"/>
      <c r="V34" s="65"/>
      <c r="W34" s="75"/>
      <c r="X34" s="20"/>
      <c r="Y34" s="298"/>
      <c r="Z34" s="405"/>
      <c r="AA34" s="372"/>
      <c r="AB34" s="20"/>
      <c r="AC34" s="298"/>
      <c r="AD34" s="92"/>
      <c r="AF34" s="791"/>
    </row>
    <row r="35" spans="1:32" s="1" customFormat="1">
      <c r="A35" s="38"/>
      <c r="B35" s="28" t="s">
        <v>15</v>
      </c>
      <c r="C35" s="101" t="s">
        <v>56</v>
      </c>
      <c r="D35" s="101"/>
      <c r="E35" s="101"/>
      <c r="F35" s="436"/>
      <c r="G35" s="77"/>
      <c r="H35" s="93">
        <v>19669.05</v>
      </c>
      <c r="I35" s="80">
        <v>19142.63</v>
      </c>
      <c r="J35" s="80">
        <v>20195.47</v>
      </c>
      <c r="K35" s="108"/>
      <c r="L35" s="567">
        <f>J35*1.1</f>
        <v>22215.017000000003</v>
      </c>
      <c r="M35" s="625">
        <v>17222.22</v>
      </c>
      <c r="N35" s="79">
        <f>N33/N34/12*1000</f>
        <v>20841.725040000005</v>
      </c>
      <c r="O35" s="80">
        <f>J35</f>
        <v>20195.47</v>
      </c>
      <c r="P35" s="299"/>
      <c r="Q35" s="406">
        <f>O35*P33</f>
        <v>21487.980080000001</v>
      </c>
      <c r="R35" s="622">
        <v>18516.11</v>
      </c>
      <c r="S35" s="372"/>
      <c r="T35" s="20"/>
      <c r="U35" s="298"/>
      <c r="V35" s="65"/>
      <c r="W35" s="75"/>
      <c r="X35" s="20"/>
      <c r="Y35" s="298"/>
      <c r="Z35" s="405"/>
      <c r="AA35" s="372"/>
      <c r="AB35" s="20"/>
      <c r="AC35" s="298"/>
      <c r="AD35" s="92"/>
      <c r="AF35" s="791"/>
    </row>
    <row r="36" spans="1:32" s="1" customFormat="1">
      <c r="A36" s="38" t="s">
        <v>59</v>
      </c>
      <c r="B36" s="24" t="s">
        <v>186</v>
      </c>
      <c r="C36" s="29" t="s">
        <v>36</v>
      </c>
      <c r="D36" s="29"/>
      <c r="E36" s="29"/>
      <c r="F36" s="360"/>
      <c r="G36" s="32"/>
      <c r="H36" s="360">
        <v>178.2</v>
      </c>
      <c r="I36" s="32">
        <v>86.72</v>
      </c>
      <c r="J36" s="32">
        <v>91.49</v>
      </c>
      <c r="K36" s="91"/>
      <c r="L36" s="566">
        <f>L33*0.302</f>
        <v>201.26805402000002</v>
      </c>
      <c r="M36" s="620">
        <v>93</v>
      </c>
      <c r="N36" s="74">
        <f>O36+Q36</f>
        <v>188.82602886240002</v>
      </c>
      <c r="O36" s="32">
        <f>O33*0.302</f>
        <v>91.48547910000002</v>
      </c>
      <c r="P36" s="297"/>
      <c r="Q36" s="404">
        <f>Q33*0.302</f>
        <v>97.340549762400002</v>
      </c>
      <c r="R36" s="620">
        <v>93.52</v>
      </c>
      <c r="S36" s="372"/>
      <c r="T36" s="20"/>
      <c r="U36" s="298"/>
      <c r="V36" s="65"/>
      <c r="W36" s="75"/>
      <c r="X36" s="20"/>
      <c r="Y36" s="298"/>
      <c r="Z36" s="405"/>
      <c r="AA36" s="372"/>
      <c r="AB36" s="20"/>
      <c r="AC36" s="298"/>
      <c r="AD36" s="92"/>
      <c r="AF36" s="791"/>
    </row>
    <row r="37" spans="1:32" s="1" customFormat="1">
      <c r="A37" s="38" t="s">
        <v>58</v>
      </c>
      <c r="B37" s="24" t="s">
        <v>136</v>
      </c>
      <c r="C37" s="101" t="s">
        <v>4</v>
      </c>
      <c r="D37" s="329"/>
      <c r="E37" s="329"/>
      <c r="F37" s="360"/>
      <c r="G37" s="32"/>
      <c r="H37" s="32">
        <v>1264.3900000000001</v>
      </c>
      <c r="I37" s="32">
        <v>530.91999999999996</v>
      </c>
      <c r="J37" s="32">
        <v>733.47</v>
      </c>
      <c r="K37" s="112"/>
      <c r="L37" s="566">
        <f>H37</f>
        <v>1264.3900000000001</v>
      </c>
      <c r="M37" s="620">
        <v>104.62</v>
      </c>
      <c r="N37" s="81">
        <f>O37+Q37</f>
        <v>981.23</v>
      </c>
      <c r="O37" s="82">
        <f>O38+O39</f>
        <v>490.61500000000001</v>
      </c>
      <c r="P37" s="311">
        <v>1.0569999999999999</v>
      </c>
      <c r="Q37" s="407">
        <f>Q38+Q39</f>
        <v>490.61500000000001</v>
      </c>
      <c r="R37" s="623">
        <v>113.15</v>
      </c>
      <c r="S37" s="372"/>
      <c r="T37" s="20"/>
      <c r="U37" s="311">
        <v>1.052</v>
      </c>
      <c r="V37" s="65"/>
      <c r="W37" s="75"/>
      <c r="X37" s="20"/>
      <c r="Y37" s="311">
        <v>1.052</v>
      </c>
      <c r="Z37" s="405"/>
      <c r="AA37" s="372"/>
      <c r="AB37" s="20"/>
      <c r="AC37" s="311">
        <v>1.0449999999999999</v>
      </c>
      <c r="AD37" s="92"/>
      <c r="AF37" s="791"/>
    </row>
    <row r="38" spans="1:32" s="1" customFormat="1">
      <c r="A38" s="38"/>
      <c r="B38" s="28" t="s">
        <v>298</v>
      </c>
      <c r="C38" s="101" t="s">
        <v>4</v>
      </c>
      <c r="D38" s="329"/>
      <c r="E38" s="329"/>
      <c r="F38" s="84"/>
      <c r="G38" s="77"/>
      <c r="H38" s="77">
        <v>884</v>
      </c>
      <c r="I38" s="77">
        <v>442</v>
      </c>
      <c r="J38" s="77">
        <v>442</v>
      </c>
      <c r="K38" s="538"/>
      <c r="L38" s="567">
        <f>H38</f>
        <v>884</v>
      </c>
      <c r="M38" s="625">
        <v>104.62</v>
      </c>
      <c r="N38" s="581">
        <f>H38-113.16</f>
        <v>770.84</v>
      </c>
      <c r="O38" s="143">
        <f>(H38-113.16)/2-65</f>
        <v>320.42</v>
      </c>
      <c r="P38" s="358"/>
      <c r="Q38" s="415">
        <f>O38</f>
        <v>320.42</v>
      </c>
      <c r="R38" s="624">
        <v>113.15</v>
      </c>
      <c r="S38" s="372"/>
      <c r="T38" s="20"/>
      <c r="U38" s="311"/>
      <c r="V38" s="65"/>
      <c r="W38" s="75"/>
      <c r="X38" s="20"/>
      <c r="Y38" s="311"/>
      <c r="Z38" s="405"/>
      <c r="AA38" s="372"/>
      <c r="AB38" s="20"/>
      <c r="AC38" s="311"/>
      <c r="AD38" s="92"/>
      <c r="AF38" s="791"/>
    </row>
    <row r="39" spans="1:32" s="1" customFormat="1">
      <c r="A39" s="38"/>
      <c r="B39" s="28" t="s">
        <v>299</v>
      </c>
      <c r="C39" s="101" t="s">
        <v>4</v>
      </c>
      <c r="D39" s="329"/>
      <c r="E39" s="344"/>
      <c r="F39" s="84"/>
      <c r="G39" s="77"/>
      <c r="H39" s="77">
        <v>380.39</v>
      </c>
      <c r="I39" s="77">
        <v>88.92</v>
      </c>
      <c r="J39" s="77">
        <v>291.47000000000003</v>
      </c>
      <c r="K39" s="112"/>
      <c r="L39" s="567">
        <f>H39</f>
        <v>380.39</v>
      </c>
      <c r="M39" s="625">
        <v>0</v>
      </c>
      <c r="N39" s="581">
        <f>O39+Q39</f>
        <v>340.39</v>
      </c>
      <c r="O39" s="143">
        <f>H39/2-20</f>
        <v>170.19499999999999</v>
      </c>
      <c r="P39" s="311"/>
      <c r="Q39" s="415">
        <f>O39</f>
        <v>170.19499999999999</v>
      </c>
      <c r="R39" s="624">
        <v>0</v>
      </c>
      <c r="S39" s="372"/>
      <c r="T39" s="20"/>
      <c r="U39" s="311"/>
      <c r="V39" s="65"/>
      <c r="W39" s="75"/>
      <c r="X39" s="20"/>
      <c r="Y39" s="311"/>
      <c r="Z39" s="405"/>
      <c r="AA39" s="372"/>
      <c r="AB39" s="20"/>
      <c r="AC39" s="311"/>
      <c r="AD39" s="92"/>
      <c r="AF39" s="791"/>
    </row>
    <row r="40" spans="1:32" s="1" customFormat="1" ht="26.25" hidden="1" customHeight="1">
      <c r="A40" s="348"/>
      <c r="B40" s="349" t="s">
        <v>198</v>
      </c>
      <c r="C40" s="101" t="s">
        <v>4</v>
      </c>
      <c r="D40" s="329"/>
      <c r="E40" s="344"/>
      <c r="F40" s="84"/>
      <c r="G40" s="77"/>
      <c r="H40" s="23"/>
      <c r="I40" s="32"/>
      <c r="J40" s="32"/>
      <c r="K40" s="112"/>
      <c r="L40" s="567"/>
      <c r="M40" s="625"/>
      <c r="N40" s="581"/>
      <c r="O40" s="143"/>
      <c r="P40" s="311"/>
      <c r="Q40" s="415"/>
      <c r="R40" s="624"/>
      <c r="S40" s="372"/>
      <c r="T40" s="20"/>
      <c r="U40" s="311"/>
      <c r="V40" s="65"/>
      <c r="W40" s="75"/>
      <c r="X40" s="20"/>
      <c r="Y40" s="311"/>
      <c r="Z40" s="405"/>
      <c r="AA40" s="372"/>
      <c r="AB40" s="20"/>
      <c r="AC40" s="311"/>
      <c r="AD40" s="92"/>
      <c r="AF40" s="791"/>
    </row>
    <row r="41" spans="1:32" s="1" customFormat="1" ht="15" hidden="1" customHeight="1">
      <c r="A41" s="38" t="s">
        <v>76</v>
      </c>
      <c r="B41" s="24" t="s">
        <v>54</v>
      </c>
      <c r="C41" s="101" t="s">
        <v>4</v>
      </c>
      <c r="D41" s="101"/>
      <c r="E41" s="101"/>
      <c r="F41" s="84"/>
      <c r="G41" s="20"/>
      <c r="H41" s="20"/>
      <c r="I41" s="20"/>
      <c r="J41" s="20"/>
      <c r="K41" s="65"/>
      <c r="L41" s="258"/>
      <c r="M41" s="621"/>
      <c r="N41" s="75"/>
      <c r="O41" s="20"/>
      <c r="P41" s="298"/>
      <c r="Q41" s="405"/>
      <c r="R41" s="621"/>
      <c r="S41" s="372"/>
      <c r="T41" s="20"/>
      <c r="U41" s="298"/>
      <c r="V41" s="65"/>
      <c r="W41" s="75"/>
      <c r="X41" s="20"/>
      <c r="Y41" s="298"/>
      <c r="Z41" s="405"/>
      <c r="AA41" s="372"/>
      <c r="AB41" s="20"/>
      <c r="AC41" s="298"/>
      <c r="AD41" s="92"/>
      <c r="AF41" s="791"/>
    </row>
    <row r="42" spans="1:32" s="1" customFormat="1" ht="26.25" hidden="1" customHeight="1">
      <c r="A42" s="38" t="s">
        <v>89</v>
      </c>
      <c r="B42" s="109" t="s">
        <v>77</v>
      </c>
      <c r="C42" s="101" t="s">
        <v>4</v>
      </c>
      <c r="D42" s="101"/>
      <c r="E42" s="101"/>
      <c r="F42" s="84"/>
      <c r="G42" s="20"/>
      <c r="H42" s="20"/>
      <c r="I42" s="20"/>
      <c r="J42" s="20"/>
      <c r="K42" s="91"/>
      <c r="L42" s="258"/>
      <c r="M42" s="621"/>
      <c r="N42" s="75"/>
      <c r="O42" s="20"/>
      <c r="P42" s="298"/>
      <c r="Q42" s="405"/>
      <c r="R42" s="621"/>
      <c r="S42" s="372"/>
      <c r="T42" s="20"/>
      <c r="U42" s="298"/>
      <c r="V42" s="65"/>
      <c r="W42" s="75"/>
      <c r="X42" s="20"/>
      <c r="Y42" s="298"/>
      <c r="Z42" s="405"/>
      <c r="AA42" s="372"/>
      <c r="AB42" s="20"/>
      <c r="AC42" s="298"/>
      <c r="AD42" s="92"/>
      <c r="AF42" s="791"/>
    </row>
    <row r="43" spans="1:32" s="1" customFormat="1">
      <c r="A43" s="98" t="s">
        <v>33</v>
      </c>
      <c r="B43" s="99" t="s">
        <v>34</v>
      </c>
      <c r="C43" s="101"/>
      <c r="D43" s="101"/>
      <c r="E43" s="101"/>
      <c r="F43" s="84"/>
      <c r="G43" s="32"/>
      <c r="H43" s="32"/>
      <c r="I43" s="32"/>
      <c r="J43" s="32"/>
      <c r="K43" s="91"/>
      <c r="L43" s="566"/>
      <c r="M43" s="620"/>
      <c r="N43" s="74"/>
      <c r="O43" s="32"/>
      <c r="P43" s="297"/>
      <c r="Q43" s="404"/>
      <c r="R43" s="620"/>
      <c r="S43" s="372"/>
      <c r="T43" s="20"/>
      <c r="U43" s="298"/>
      <c r="V43" s="65"/>
      <c r="W43" s="75"/>
      <c r="X43" s="20"/>
      <c r="Y43" s="298"/>
      <c r="Z43" s="405"/>
      <c r="AA43" s="372"/>
      <c r="AB43" s="20"/>
      <c r="AC43" s="298"/>
      <c r="AD43" s="92"/>
      <c r="AF43" s="791"/>
    </row>
    <row r="44" spans="1:32" s="1" customFormat="1">
      <c r="A44" s="38" t="s">
        <v>60</v>
      </c>
      <c r="B44" s="24" t="s">
        <v>179</v>
      </c>
      <c r="C44" s="101" t="s">
        <v>4</v>
      </c>
      <c r="D44" s="101"/>
      <c r="E44" s="101"/>
      <c r="F44" s="360"/>
      <c r="G44" s="32"/>
      <c r="H44" s="32"/>
      <c r="I44" s="32"/>
      <c r="J44" s="32"/>
      <c r="K44" s="91"/>
      <c r="L44" s="566"/>
      <c r="M44" s="620">
        <v>103</v>
      </c>
      <c r="N44" s="74">
        <f>O44+Q44</f>
        <v>139.03750049978584</v>
      </c>
      <c r="O44" s="32">
        <f>ФОТ!C87/2</f>
        <v>67.363130087105532</v>
      </c>
      <c r="P44" s="311">
        <f>P50</f>
        <v>1.0640000000000001</v>
      </c>
      <c r="Q44" s="404">
        <f>Q45*Q46*6/1000</f>
        <v>71.67437041268029</v>
      </c>
      <c r="R44" s="620">
        <v>90</v>
      </c>
      <c r="S44" s="372"/>
      <c r="T44" s="20"/>
      <c r="U44" s="311">
        <v>1.06</v>
      </c>
      <c r="V44" s="65"/>
      <c r="W44" s="75"/>
      <c r="X44" s="20"/>
      <c r="Y44" s="311">
        <v>1.06</v>
      </c>
      <c r="Z44" s="405"/>
      <c r="AA44" s="372"/>
      <c r="AB44" s="20"/>
      <c r="AC44" s="311">
        <v>1.05</v>
      </c>
      <c r="AD44" s="92"/>
      <c r="AF44" s="791"/>
    </row>
    <row r="45" spans="1:32" s="1" customFormat="1">
      <c r="A45" s="38"/>
      <c r="B45" s="28" t="s">
        <v>14</v>
      </c>
      <c r="C45" s="101" t="s">
        <v>55</v>
      </c>
      <c r="D45" s="101"/>
      <c r="E45" s="101"/>
      <c r="F45" s="436"/>
      <c r="G45" s="77"/>
      <c r="H45" s="77"/>
      <c r="I45" s="77"/>
      <c r="J45" s="77"/>
      <c r="K45" s="103"/>
      <c r="L45" s="570"/>
      <c r="M45" s="622">
        <v>1</v>
      </c>
      <c r="N45" s="79">
        <f>ФОТ!F87</f>
        <v>0.53976867056975586</v>
      </c>
      <c r="O45" s="80">
        <f>ФОТ!F87</f>
        <v>0.53976867056975586</v>
      </c>
      <c r="P45" s="357"/>
      <c r="Q45" s="406">
        <f>ФОТ!F87</f>
        <v>0.53976867056975586</v>
      </c>
      <c r="R45" s="622">
        <v>1</v>
      </c>
      <c r="S45" s="372"/>
      <c r="T45" s="20"/>
      <c r="U45" s="298"/>
      <c r="V45" s="65"/>
      <c r="W45" s="75"/>
      <c r="X45" s="20"/>
      <c r="Y45" s="298"/>
      <c r="Z45" s="405"/>
      <c r="AA45" s="372"/>
      <c r="AB45" s="20"/>
      <c r="AC45" s="298"/>
      <c r="AD45" s="92"/>
      <c r="AF45" s="791"/>
    </row>
    <row r="46" spans="1:32" s="1" customFormat="1">
      <c r="A46" s="38"/>
      <c r="B46" s="28" t="s">
        <v>15</v>
      </c>
      <c r="C46" s="101" t="s">
        <v>56</v>
      </c>
      <c r="D46" s="101"/>
      <c r="E46" s="101"/>
      <c r="F46" s="436"/>
      <c r="G46" s="77"/>
      <c r="H46" s="77"/>
      <c r="I46" s="77"/>
      <c r="J46" s="77"/>
      <c r="K46" s="103"/>
      <c r="L46" s="570"/>
      <c r="M46" s="622">
        <v>11444.14</v>
      </c>
      <c r="N46" s="79">
        <f>N44/N45/12*1000</f>
        <v>21465.600000000006</v>
      </c>
      <c r="O46" s="77">
        <f>O44/O45/6*1000</f>
        <v>20800</v>
      </c>
      <c r="P46" s="358"/>
      <c r="Q46" s="408">
        <f>O46*P44</f>
        <v>22131.200000000001</v>
      </c>
      <c r="R46" s="625">
        <v>10000</v>
      </c>
      <c r="S46" s="372"/>
      <c r="T46" s="20"/>
      <c r="U46" s="298"/>
      <c r="V46" s="65"/>
      <c r="W46" s="75"/>
      <c r="X46" s="20"/>
      <c r="Y46" s="298"/>
      <c r="Z46" s="405"/>
      <c r="AA46" s="372"/>
      <c r="AB46" s="20"/>
      <c r="AC46" s="298"/>
      <c r="AD46" s="92"/>
      <c r="AF46" s="791"/>
    </row>
    <row r="47" spans="1:32" s="1" customFormat="1">
      <c r="A47" s="38" t="s">
        <v>61</v>
      </c>
      <c r="B47" s="24" t="s">
        <v>158</v>
      </c>
      <c r="C47" s="29" t="s">
        <v>36</v>
      </c>
      <c r="D47" s="29"/>
      <c r="E47" s="29"/>
      <c r="F47" s="360"/>
      <c r="G47" s="32"/>
      <c r="H47" s="32"/>
      <c r="I47" s="32"/>
      <c r="J47" s="32"/>
      <c r="K47" s="91"/>
      <c r="L47" s="566"/>
      <c r="M47" s="620">
        <v>30.3</v>
      </c>
      <c r="N47" s="74">
        <f>O47+Q47</f>
        <v>41.989325150935315</v>
      </c>
      <c r="O47" s="32">
        <f>O44*0.302</f>
        <v>20.343665286305871</v>
      </c>
      <c r="P47" s="311"/>
      <c r="Q47" s="404">
        <f>Q44*0.302</f>
        <v>21.645659864629447</v>
      </c>
      <c r="R47" s="620">
        <v>27.18</v>
      </c>
      <c r="S47" s="372"/>
      <c r="T47" s="20"/>
      <c r="U47" s="298"/>
      <c r="V47" s="65"/>
      <c r="W47" s="75"/>
      <c r="X47" s="20"/>
      <c r="Y47" s="298"/>
      <c r="Z47" s="405"/>
      <c r="AA47" s="372"/>
      <c r="AB47" s="20"/>
      <c r="AC47" s="298"/>
      <c r="AD47" s="92"/>
      <c r="AF47" s="791"/>
    </row>
    <row r="48" spans="1:32" s="1" customFormat="1">
      <c r="A48" s="38" t="s">
        <v>67</v>
      </c>
      <c r="B48" s="24" t="s">
        <v>137</v>
      </c>
      <c r="C48" s="101" t="s">
        <v>4</v>
      </c>
      <c r="D48" s="331"/>
      <c r="E48" s="32"/>
      <c r="F48" s="360"/>
      <c r="G48" s="32"/>
      <c r="H48" s="32">
        <v>298.185</v>
      </c>
      <c r="I48" s="32">
        <v>186.61</v>
      </c>
      <c r="J48" s="32">
        <v>111.58</v>
      </c>
      <c r="K48" s="91"/>
      <c r="L48" s="566">
        <f>H48*1.2</f>
        <v>357.822</v>
      </c>
      <c r="M48" s="620">
        <v>24.62</v>
      </c>
      <c r="N48" s="74">
        <f>H48-139.04-41.99</f>
        <v>117.155</v>
      </c>
      <c r="O48" s="32">
        <f>N48/2</f>
        <v>58.577500000000001</v>
      </c>
      <c r="P48" s="311">
        <f>P58</f>
        <v>1.0569999999999999</v>
      </c>
      <c r="Q48" s="404">
        <f>O48</f>
        <v>58.577500000000001</v>
      </c>
      <c r="R48" s="620">
        <v>89.95</v>
      </c>
      <c r="S48" s="372"/>
      <c r="T48" s="20"/>
      <c r="U48" s="298"/>
      <c r="V48" s="65"/>
      <c r="W48" s="75"/>
      <c r="X48" s="20"/>
      <c r="Y48" s="298"/>
      <c r="Z48" s="405"/>
      <c r="AA48" s="372"/>
      <c r="AB48" s="20"/>
      <c r="AC48" s="298"/>
      <c r="AD48" s="92"/>
      <c r="AF48" s="791"/>
    </row>
    <row r="49" spans="1:32" s="1" customFormat="1">
      <c r="A49" s="98" t="s">
        <v>37</v>
      </c>
      <c r="B49" s="99" t="s">
        <v>38</v>
      </c>
      <c r="C49" s="101"/>
      <c r="D49" s="101"/>
      <c r="E49" s="101"/>
      <c r="F49" s="84"/>
      <c r="G49" s="32"/>
      <c r="H49" s="32"/>
      <c r="I49" s="32"/>
      <c r="J49" s="32"/>
      <c r="K49" s="91"/>
      <c r="L49" s="566"/>
      <c r="M49" s="620"/>
      <c r="N49" s="74"/>
      <c r="O49" s="32"/>
      <c r="P49" s="311"/>
      <c r="Q49" s="404"/>
      <c r="R49" s="620"/>
      <c r="S49" s="372"/>
      <c r="T49" s="20"/>
      <c r="U49" s="298"/>
      <c r="V49" s="65"/>
      <c r="W49" s="75"/>
      <c r="X49" s="20"/>
      <c r="Y49" s="298"/>
      <c r="Z49" s="405"/>
      <c r="AA49" s="372"/>
      <c r="AB49" s="20"/>
      <c r="AC49" s="298"/>
      <c r="AD49" s="92"/>
      <c r="AF49" s="791"/>
    </row>
    <row r="50" spans="1:32" s="1" customFormat="1">
      <c r="A50" s="38" t="s">
        <v>65</v>
      </c>
      <c r="B50" s="24" t="s">
        <v>138</v>
      </c>
      <c r="C50" s="101" t="s">
        <v>4</v>
      </c>
      <c r="D50" s="101"/>
      <c r="E50" s="101"/>
      <c r="F50" s="360"/>
      <c r="G50" s="32"/>
      <c r="H50" s="32">
        <v>449.47</v>
      </c>
      <c r="I50" s="32">
        <v>218.72</v>
      </c>
      <c r="J50" s="32">
        <v>230.75</v>
      </c>
      <c r="K50" s="91"/>
      <c r="L50" s="566">
        <f>L51*L52*12/1000</f>
        <v>622.76280000000008</v>
      </c>
      <c r="M50" s="620">
        <v>365</v>
      </c>
      <c r="N50" s="74">
        <f>O50+Q50</f>
        <v>607.3680330636264</v>
      </c>
      <c r="O50" s="32">
        <f>ФОТ!C79/2</f>
        <v>294.26745787966394</v>
      </c>
      <c r="P50" s="311">
        <f>P25</f>
        <v>1.0640000000000001</v>
      </c>
      <c r="Q50" s="404">
        <f>Q51*Q52*6/1000</f>
        <v>313.10057518396246</v>
      </c>
      <c r="R50" s="620">
        <v>411.22</v>
      </c>
      <c r="S50" s="372"/>
      <c r="T50" s="20"/>
      <c r="U50" s="311">
        <v>1.06</v>
      </c>
      <c r="V50" s="65"/>
      <c r="W50" s="75"/>
      <c r="X50" s="20"/>
      <c r="Y50" s="311"/>
      <c r="Z50" s="405"/>
      <c r="AA50" s="372"/>
      <c r="AB50" s="20"/>
      <c r="AC50" s="311">
        <v>1.05</v>
      </c>
      <c r="AD50" s="92"/>
      <c r="AF50" s="791"/>
    </row>
    <row r="51" spans="1:32" s="1" customFormat="1">
      <c r="A51" s="38"/>
      <c r="B51" s="28" t="s">
        <v>14</v>
      </c>
      <c r="C51" s="101" t="s">
        <v>55</v>
      </c>
      <c r="D51" s="101"/>
      <c r="E51" s="101"/>
      <c r="F51" s="436"/>
      <c r="G51" s="77"/>
      <c r="H51" s="77">
        <v>1.0900000000000001</v>
      </c>
      <c r="I51" s="77">
        <v>1.0900000000000001</v>
      </c>
      <c r="J51" s="77">
        <v>1.0900000000000001</v>
      </c>
      <c r="K51" s="103"/>
      <c r="L51" s="567">
        <v>1.1000000000000001</v>
      </c>
      <c r="M51" s="625">
        <v>1.38</v>
      </c>
      <c r="N51" s="76">
        <f>ФОТ!F79</f>
        <v>1.561272850689434</v>
      </c>
      <c r="O51" s="77">
        <f>ФОТ!F79</f>
        <v>1.561272850689434</v>
      </c>
      <c r="P51" s="301"/>
      <c r="Q51" s="408">
        <f>O51</f>
        <v>1.561272850689434</v>
      </c>
      <c r="R51" s="625">
        <v>1.54</v>
      </c>
      <c r="S51" s="372"/>
      <c r="T51" s="20"/>
      <c r="U51" s="298"/>
      <c r="V51" s="65"/>
      <c r="W51" s="75"/>
      <c r="X51" s="20"/>
      <c r="Y51" s="298"/>
      <c r="Z51" s="405"/>
      <c r="AA51" s="372"/>
      <c r="AB51" s="20"/>
      <c r="AC51" s="298"/>
      <c r="AD51" s="92"/>
      <c r="AF51" s="791"/>
    </row>
    <row r="52" spans="1:32" s="1" customFormat="1">
      <c r="A52" s="38"/>
      <c r="B52" s="28" t="s">
        <v>15</v>
      </c>
      <c r="C52" s="101" t="s">
        <v>56</v>
      </c>
      <c r="D52" s="101"/>
      <c r="E52" s="101"/>
      <c r="F52" s="436"/>
      <c r="G52" s="77"/>
      <c r="H52" s="77">
        <v>34255.21</v>
      </c>
      <c r="I52" s="77">
        <v>33338.400000000001</v>
      </c>
      <c r="J52" s="77">
        <v>35172.01</v>
      </c>
      <c r="K52" s="103"/>
      <c r="L52" s="567">
        <f>42890*1.1</f>
        <v>47179.000000000007</v>
      </c>
      <c r="M52" s="625">
        <v>29535.15</v>
      </c>
      <c r="N52" s="76">
        <f>N50/N51/12*1000</f>
        <v>32418.422399999996</v>
      </c>
      <c r="O52" s="77">
        <f>O50/O51/6*1000</f>
        <v>31413.200000000001</v>
      </c>
      <c r="P52" s="301"/>
      <c r="Q52" s="408">
        <f>O52*P50</f>
        <v>33423.644800000002</v>
      </c>
      <c r="R52" s="625">
        <v>29669.55</v>
      </c>
      <c r="S52" s="372"/>
      <c r="T52" s="20"/>
      <c r="U52" s="298"/>
      <c r="V52" s="65"/>
      <c r="W52" s="75"/>
      <c r="X52" s="20"/>
      <c r="Y52" s="298"/>
      <c r="Z52" s="405"/>
      <c r="AA52" s="372"/>
      <c r="AB52" s="20"/>
      <c r="AC52" s="298"/>
      <c r="AD52" s="92"/>
      <c r="AF52" s="791"/>
    </row>
    <row r="53" spans="1:32" s="1" customFormat="1">
      <c r="A53" s="38" t="s">
        <v>66</v>
      </c>
      <c r="B53" s="110" t="s">
        <v>139</v>
      </c>
      <c r="C53" s="111" t="s">
        <v>36</v>
      </c>
      <c r="D53" s="111"/>
      <c r="E53" s="111"/>
      <c r="F53" s="360"/>
      <c r="G53" s="82"/>
      <c r="H53" s="82">
        <v>135.74</v>
      </c>
      <c r="I53" s="82">
        <v>66.05</v>
      </c>
      <c r="J53" s="82">
        <v>69.69</v>
      </c>
      <c r="K53" s="112"/>
      <c r="L53" s="569">
        <f>L50*0.302</f>
        <v>188.07436560000002</v>
      </c>
      <c r="M53" s="623">
        <v>110</v>
      </c>
      <c r="N53" s="81">
        <f>O53+Q53</f>
        <v>183.42514598521518</v>
      </c>
      <c r="O53" s="82">
        <f>O50*0.302</f>
        <v>88.868772279658501</v>
      </c>
      <c r="P53" s="300"/>
      <c r="Q53" s="407">
        <f>Q50*0.302</f>
        <v>94.556373705556666</v>
      </c>
      <c r="R53" s="623">
        <v>114.37</v>
      </c>
      <c r="S53" s="372"/>
      <c r="T53" s="20"/>
      <c r="U53" s="298"/>
      <c r="V53" s="65"/>
      <c r="W53" s="75"/>
      <c r="X53" s="20"/>
      <c r="Y53" s="298"/>
      <c r="Z53" s="405"/>
      <c r="AA53" s="372"/>
      <c r="AB53" s="20"/>
      <c r="AC53" s="298"/>
      <c r="AD53" s="92"/>
      <c r="AF53" s="791"/>
    </row>
    <row r="54" spans="1:32" s="1" customFormat="1" ht="27.75" hidden="1" customHeight="1">
      <c r="A54" s="38" t="s">
        <v>86</v>
      </c>
      <c r="B54" s="113" t="s">
        <v>157</v>
      </c>
      <c r="C54" s="101" t="s">
        <v>4</v>
      </c>
      <c r="D54" s="101"/>
      <c r="E54" s="101"/>
      <c r="F54" s="84"/>
      <c r="G54" s="32"/>
      <c r="H54" s="32"/>
      <c r="I54" s="32"/>
      <c r="J54" s="32"/>
      <c r="K54" s="91"/>
      <c r="L54" s="566"/>
      <c r="M54" s="620"/>
      <c r="N54" s="74"/>
      <c r="O54" s="32"/>
      <c r="P54" s="311">
        <f>P50</f>
        <v>1.0640000000000001</v>
      </c>
      <c r="Q54" s="404"/>
      <c r="R54" s="620"/>
      <c r="S54" s="372"/>
      <c r="T54" s="20"/>
      <c r="U54" s="298"/>
      <c r="V54" s="65"/>
      <c r="W54" s="75"/>
      <c r="X54" s="20"/>
      <c r="Y54" s="298"/>
      <c r="Z54" s="405"/>
      <c r="AA54" s="372"/>
      <c r="AB54" s="20"/>
      <c r="AC54" s="298"/>
      <c r="AD54" s="92"/>
      <c r="AF54" s="791"/>
    </row>
    <row r="55" spans="1:32" s="1" customFormat="1" ht="15" hidden="1" customHeight="1">
      <c r="A55" s="38"/>
      <c r="B55" s="28" t="s">
        <v>14</v>
      </c>
      <c r="C55" s="101" t="s">
        <v>55</v>
      </c>
      <c r="D55" s="101"/>
      <c r="E55" s="101"/>
      <c r="F55" s="84"/>
      <c r="G55" s="80"/>
      <c r="H55" s="80"/>
      <c r="I55" s="80"/>
      <c r="J55" s="80"/>
      <c r="K55" s="108"/>
      <c r="L55" s="570"/>
      <c r="M55" s="622"/>
      <c r="N55" s="79"/>
      <c r="O55" s="80"/>
      <c r="P55" s="299"/>
      <c r="Q55" s="406"/>
      <c r="R55" s="622"/>
      <c r="S55" s="383"/>
      <c r="T55" s="80"/>
      <c r="U55" s="299"/>
      <c r="V55" s="108"/>
      <c r="W55" s="79"/>
      <c r="X55" s="80"/>
      <c r="Y55" s="299"/>
      <c r="Z55" s="406"/>
      <c r="AA55" s="383"/>
      <c r="AB55" s="20"/>
      <c r="AC55" s="298"/>
      <c r="AD55" s="92"/>
      <c r="AF55" s="791"/>
    </row>
    <row r="56" spans="1:32" s="1" customFormat="1" ht="15" hidden="1" customHeight="1">
      <c r="A56" s="38"/>
      <c r="B56" s="28" t="s">
        <v>15</v>
      </c>
      <c r="C56" s="101" t="s">
        <v>56</v>
      </c>
      <c r="D56" s="101"/>
      <c r="E56" s="101"/>
      <c r="F56" s="84"/>
      <c r="G56" s="80"/>
      <c r="H56" s="80"/>
      <c r="I56" s="80"/>
      <c r="J56" s="80"/>
      <c r="K56" s="108"/>
      <c r="L56" s="570"/>
      <c r="M56" s="622"/>
      <c r="N56" s="79"/>
      <c r="O56" s="80"/>
      <c r="P56" s="299"/>
      <c r="Q56" s="406"/>
      <c r="R56" s="622"/>
      <c r="S56" s="383"/>
      <c r="T56" s="80"/>
      <c r="U56" s="299"/>
      <c r="V56" s="108"/>
      <c r="W56" s="79"/>
      <c r="X56" s="80"/>
      <c r="Y56" s="299"/>
      <c r="Z56" s="406"/>
      <c r="AA56" s="383"/>
      <c r="AB56" s="20"/>
      <c r="AC56" s="298"/>
      <c r="AD56" s="92"/>
      <c r="AF56" s="791"/>
    </row>
    <row r="57" spans="1:32" s="1" customFormat="1" ht="15" hidden="1" customHeight="1">
      <c r="A57" s="38" t="s">
        <v>69</v>
      </c>
      <c r="B57" s="24" t="s">
        <v>139</v>
      </c>
      <c r="C57" s="29" t="s">
        <v>36</v>
      </c>
      <c r="D57" s="29"/>
      <c r="E57" s="29"/>
      <c r="F57" s="84"/>
      <c r="G57" s="32"/>
      <c r="H57" s="32"/>
      <c r="I57" s="32"/>
      <c r="J57" s="32"/>
      <c r="K57" s="91"/>
      <c r="L57" s="566"/>
      <c r="M57" s="620"/>
      <c r="N57" s="74"/>
      <c r="O57" s="32"/>
      <c r="P57" s="297"/>
      <c r="Q57" s="404"/>
      <c r="R57" s="620"/>
      <c r="S57" s="372"/>
      <c r="T57" s="20"/>
      <c r="U57" s="298"/>
      <c r="V57" s="65"/>
      <c r="W57" s="75"/>
      <c r="X57" s="20"/>
      <c r="Y57" s="298"/>
      <c r="Z57" s="405"/>
      <c r="AA57" s="372"/>
      <c r="AB57" s="20"/>
      <c r="AC57" s="298"/>
      <c r="AD57" s="92"/>
      <c r="AF57" s="791"/>
    </row>
    <row r="58" spans="1:32" s="1" customFormat="1">
      <c r="A58" s="38" t="s">
        <v>86</v>
      </c>
      <c r="B58" s="24" t="s">
        <v>140</v>
      </c>
      <c r="C58" s="29" t="s">
        <v>36</v>
      </c>
      <c r="D58" s="32"/>
      <c r="E58" s="329"/>
      <c r="F58" s="360"/>
      <c r="G58" s="32"/>
      <c r="H58" s="32">
        <v>79.504999999999995</v>
      </c>
      <c r="I58" s="32">
        <v>49.76</v>
      </c>
      <c r="J58" s="32">
        <v>29.745000000000001</v>
      </c>
      <c r="K58" s="91"/>
      <c r="L58" s="566">
        <v>123.88</v>
      </c>
      <c r="M58" s="620">
        <v>484.59</v>
      </c>
      <c r="N58" s="74">
        <f>O58+Q58</f>
        <v>59.49</v>
      </c>
      <c r="O58" s="32">
        <f>J58</f>
        <v>29.745000000000001</v>
      </c>
      <c r="P58" s="311">
        <f>P37</f>
        <v>1.0569999999999999</v>
      </c>
      <c r="Q58" s="404">
        <f>O58</f>
        <v>29.745000000000001</v>
      </c>
      <c r="R58" s="620">
        <v>523</v>
      </c>
      <c r="S58" s="372"/>
      <c r="T58" s="20"/>
      <c r="U58" s="298"/>
      <c r="V58" s="65"/>
      <c r="W58" s="75"/>
      <c r="X58" s="20"/>
      <c r="Y58" s="298"/>
      <c r="Z58" s="405"/>
      <c r="AA58" s="372"/>
      <c r="AB58" s="20"/>
      <c r="AC58" s="298"/>
      <c r="AD58" s="92"/>
      <c r="AF58" s="791"/>
    </row>
    <row r="59" spans="1:32" s="128" customFormat="1" ht="26.25">
      <c r="A59" s="94" t="s">
        <v>24</v>
      </c>
      <c r="B59" s="114" t="s">
        <v>159</v>
      </c>
      <c r="C59" s="96" t="s">
        <v>4</v>
      </c>
      <c r="D59" s="73"/>
      <c r="E59" s="73"/>
      <c r="F59" s="73"/>
      <c r="G59" s="73"/>
      <c r="H59" s="73">
        <v>460.12</v>
      </c>
      <c r="I59" s="73">
        <v>221.74</v>
      </c>
      <c r="J59" s="73">
        <v>238.37</v>
      </c>
      <c r="K59" s="97"/>
      <c r="L59" s="564">
        <f>L60</f>
        <v>524.08600000000001</v>
      </c>
      <c r="M59" s="615">
        <v>332.87</v>
      </c>
      <c r="N59" s="72">
        <f>O59+Q59</f>
        <v>517.10339212470012</v>
      </c>
      <c r="O59" s="73">
        <f>O60</f>
        <v>249.20645403600003</v>
      </c>
      <c r="P59" s="310"/>
      <c r="Q59" s="399">
        <f>Q60</f>
        <v>267.89693808870004</v>
      </c>
      <c r="R59" s="615">
        <v>364.94</v>
      </c>
      <c r="S59" s="377">
        <f>T59+V59</f>
        <v>554.54666184360906</v>
      </c>
      <c r="T59" s="73">
        <f>T63</f>
        <v>267.89693808870004</v>
      </c>
      <c r="U59" s="292"/>
      <c r="V59" s="97">
        <f>V63</f>
        <v>286.64972375490902</v>
      </c>
      <c r="W59" s="72">
        <f>X59+Z59</f>
        <v>479.72294881840003</v>
      </c>
      <c r="X59" s="73">
        <f>X67*X68</f>
        <v>233.8970984</v>
      </c>
      <c r="Y59" s="292"/>
      <c r="Z59" s="73">
        <f>Z67*Z68</f>
        <v>245.82585041839999</v>
      </c>
      <c r="AA59" s="377">
        <f>AB59+AD59</f>
        <v>591.07173038262249</v>
      </c>
      <c r="AB59" s="73">
        <f>AB63</f>
        <v>286.64972375490902</v>
      </c>
      <c r="AC59" s="292"/>
      <c r="AD59" s="73">
        <f>AD63</f>
        <v>304.42200662771342</v>
      </c>
      <c r="AF59" s="799">
        <f>W59-S59</f>
        <v>-74.823713025209031</v>
      </c>
    </row>
    <row r="60" spans="1:32" s="128" customFormat="1">
      <c r="A60" s="38" t="s">
        <v>70</v>
      </c>
      <c r="B60" s="115" t="s">
        <v>71</v>
      </c>
      <c r="C60" s="61" t="s">
        <v>36</v>
      </c>
      <c r="D60" s="84"/>
      <c r="E60" s="21"/>
      <c r="F60" s="84"/>
      <c r="G60" s="84"/>
      <c r="H60" s="84">
        <v>460.12</v>
      </c>
      <c r="I60" s="84">
        <v>221.74</v>
      </c>
      <c r="J60" s="84">
        <v>238.37</v>
      </c>
      <c r="K60" s="116"/>
      <c r="L60" s="571">
        <f>L63</f>
        <v>524.08600000000001</v>
      </c>
      <c r="M60" s="628">
        <v>332.87</v>
      </c>
      <c r="N60" s="83">
        <f>O60+Q60</f>
        <v>517.10339212470012</v>
      </c>
      <c r="O60" s="84">
        <f>O63</f>
        <v>249.20645403600003</v>
      </c>
      <c r="P60" s="359"/>
      <c r="Q60" s="409">
        <f>Q63</f>
        <v>267.89693808870004</v>
      </c>
      <c r="R60" s="628">
        <v>364.94</v>
      </c>
      <c r="S60" s="384"/>
      <c r="T60" s="84"/>
      <c r="U60" s="302"/>
      <c r="V60" s="116"/>
      <c r="W60" s="83"/>
      <c r="X60" s="84"/>
      <c r="Y60" s="302"/>
      <c r="Z60" s="409"/>
      <c r="AA60" s="384"/>
      <c r="AB60" s="84"/>
      <c r="AC60" s="302"/>
      <c r="AD60" s="84"/>
      <c r="AF60" s="789"/>
    </row>
    <row r="61" spans="1:32" s="128" customFormat="1">
      <c r="A61" s="94"/>
      <c r="B61" s="117" t="s">
        <v>52</v>
      </c>
      <c r="C61" s="12" t="s">
        <v>9</v>
      </c>
      <c r="D61" s="20"/>
      <c r="E61" s="20"/>
      <c r="F61" s="84"/>
      <c r="G61" s="84"/>
      <c r="H61" s="84">
        <v>84.53</v>
      </c>
      <c r="I61" s="84">
        <v>42.27</v>
      </c>
      <c r="J61" s="84">
        <v>42.27</v>
      </c>
      <c r="K61" s="116"/>
      <c r="L61" s="571">
        <f>L65</f>
        <v>84.53</v>
      </c>
      <c r="M61" s="628">
        <v>63.84</v>
      </c>
      <c r="N61" s="83">
        <f>O61+Q61</f>
        <v>84.54</v>
      </c>
      <c r="O61" s="84">
        <f>O65</f>
        <v>42.27</v>
      </c>
      <c r="P61" s="302"/>
      <c r="Q61" s="409">
        <f>Q65</f>
        <v>42.27</v>
      </c>
      <c r="R61" s="628">
        <v>66.459999999999994</v>
      </c>
      <c r="S61" s="384"/>
      <c r="T61" s="84"/>
      <c r="U61" s="302"/>
      <c r="V61" s="116"/>
      <c r="W61" s="83"/>
      <c r="X61" s="84"/>
      <c r="Y61" s="302"/>
      <c r="Z61" s="409"/>
      <c r="AA61" s="384"/>
      <c r="AB61" s="84"/>
      <c r="AC61" s="302"/>
      <c r="AD61" s="84"/>
      <c r="AF61" s="789"/>
    </row>
    <row r="62" spans="1:32" s="128" customFormat="1">
      <c r="A62" s="38"/>
      <c r="B62" s="118" t="s">
        <v>23</v>
      </c>
      <c r="C62" s="101" t="s">
        <v>30</v>
      </c>
      <c r="D62" s="86"/>
      <c r="E62" s="86"/>
      <c r="F62" s="86"/>
      <c r="G62" s="86"/>
      <c r="H62" s="86">
        <f>H61/H8</f>
        <v>0.39872641509433965</v>
      </c>
      <c r="I62" s="86">
        <v>0.4</v>
      </c>
      <c r="J62" s="86">
        <v>0.4</v>
      </c>
      <c r="K62" s="119"/>
      <c r="L62" s="572">
        <f>L61/L8</f>
        <v>0.39872641509433965</v>
      </c>
      <c r="M62" s="629">
        <v>0.37</v>
      </c>
      <c r="N62" s="85">
        <f>N61/N8</f>
        <v>0.39877358490566039</v>
      </c>
      <c r="O62" s="86">
        <f>O61/O8</f>
        <v>0.39877358490566039</v>
      </c>
      <c r="P62" s="303"/>
      <c r="Q62" s="410">
        <f>Q61/Q8</f>
        <v>0.39877358490566039</v>
      </c>
      <c r="R62" s="629">
        <v>0.39</v>
      </c>
      <c r="S62" s="385"/>
      <c r="T62" s="86"/>
      <c r="U62" s="303"/>
      <c r="V62" s="119"/>
      <c r="W62" s="85"/>
      <c r="X62" s="86"/>
      <c r="Y62" s="303"/>
      <c r="Z62" s="410"/>
      <c r="AA62" s="385"/>
      <c r="AB62" s="86"/>
      <c r="AC62" s="303"/>
      <c r="AD62" s="86"/>
      <c r="AF62" s="789"/>
    </row>
    <row r="63" spans="1:32" s="128" customFormat="1">
      <c r="A63" s="38" t="s">
        <v>72</v>
      </c>
      <c r="B63" s="107" t="s">
        <v>51</v>
      </c>
      <c r="C63" s="101" t="s">
        <v>4</v>
      </c>
      <c r="D63" s="101"/>
      <c r="E63" s="88"/>
      <c r="F63" s="84"/>
      <c r="G63" s="84"/>
      <c r="H63" s="84">
        <v>460.12</v>
      </c>
      <c r="I63" s="84">
        <v>221.74</v>
      </c>
      <c r="J63" s="84">
        <v>238.37</v>
      </c>
      <c r="K63" s="116"/>
      <c r="L63" s="571">
        <f>L64*L65</f>
        <v>524.08600000000001</v>
      </c>
      <c r="M63" s="628"/>
      <c r="N63" s="83">
        <f>O63+Q63</f>
        <v>517.10339212470012</v>
      </c>
      <c r="O63" s="84">
        <f>O64*O65</f>
        <v>249.20645403600003</v>
      </c>
      <c r="P63" s="302"/>
      <c r="Q63" s="409">
        <f>Q64*Q65</f>
        <v>267.89693808870004</v>
      </c>
      <c r="R63" s="628">
        <v>0</v>
      </c>
      <c r="S63" s="384">
        <f>T63+V63</f>
        <v>554.54666184360906</v>
      </c>
      <c r="T63" s="84">
        <f>T64*T65</f>
        <v>267.89693808870004</v>
      </c>
      <c r="U63" s="302"/>
      <c r="V63" s="116">
        <f>V64*V65</f>
        <v>286.64972375490902</v>
      </c>
      <c r="W63" s="83"/>
      <c r="X63" s="84"/>
      <c r="Y63" s="302"/>
      <c r="Z63" s="409"/>
      <c r="AA63" s="384">
        <f>AB63+AD63</f>
        <v>591.07173038262249</v>
      </c>
      <c r="AB63" s="84">
        <f>AB64*AB65</f>
        <v>286.64972375490902</v>
      </c>
      <c r="AC63" s="302"/>
      <c r="AD63" s="84">
        <f>AD64*AD65</f>
        <v>304.42200662771342</v>
      </c>
      <c r="AF63" s="789"/>
    </row>
    <row r="64" spans="1:32" s="1" customFormat="1">
      <c r="A64" s="38"/>
      <c r="B64" s="140" t="s">
        <v>188</v>
      </c>
      <c r="C64" s="101" t="s">
        <v>10</v>
      </c>
      <c r="D64" s="101"/>
      <c r="E64" s="77"/>
      <c r="F64" s="436"/>
      <c r="G64" s="77"/>
      <c r="H64" s="77">
        <v>5.44</v>
      </c>
      <c r="I64" s="77">
        <v>5.25</v>
      </c>
      <c r="J64" s="77">
        <v>5.64</v>
      </c>
      <c r="K64" s="103"/>
      <c r="L64" s="567">
        <v>6.2</v>
      </c>
      <c r="M64" s="625"/>
      <c r="N64" s="76">
        <f>N63/N65</f>
        <v>6.1166713050000006</v>
      </c>
      <c r="O64" s="77">
        <f>4.99626*1.18</f>
        <v>5.8955868000000002</v>
      </c>
      <c r="P64" s="311">
        <v>1.075</v>
      </c>
      <c r="Q64" s="408">
        <f>O64*P64</f>
        <v>6.33775581</v>
      </c>
      <c r="R64" s="625">
        <v>0</v>
      </c>
      <c r="S64" s="386">
        <f>S63/S65</f>
        <v>6.5595772633500005</v>
      </c>
      <c r="T64" s="77">
        <f>Q64</f>
        <v>6.33775581</v>
      </c>
      <c r="U64" s="311">
        <v>1.07</v>
      </c>
      <c r="V64" s="103">
        <f>T64*U64</f>
        <v>6.7813987167000001</v>
      </c>
      <c r="W64" s="76"/>
      <c r="X64" s="77"/>
      <c r="Y64" s="311"/>
      <c r="Z64" s="408"/>
      <c r="AA64" s="386">
        <f>AA63/AA65</f>
        <v>6.9916220769177011</v>
      </c>
      <c r="AB64" s="77">
        <f>V64</f>
        <v>6.7813987167000001</v>
      </c>
      <c r="AC64" s="311">
        <v>1.0620000000000001</v>
      </c>
      <c r="AD64" s="77">
        <f>AB64*AC64</f>
        <v>7.2018454371354004</v>
      </c>
      <c r="AF64" s="791"/>
    </row>
    <row r="65" spans="1:32" s="1" customFormat="1">
      <c r="A65" s="38"/>
      <c r="B65" s="139" t="s">
        <v>82</v>
      </c>
      <c r="C65" s="101" t="s">
        <v>9</v>
      </c>
      <c r="D65" s="101"/>
      <c r="E65" s="77"/>
      <c r="F65" s="436"/>
      <c r="G65" s="77"/>
      <c r="H65" s="77">
        <v>84.53</v>
      </c>
      <c r="I65" s="77">
        <v>42.27</v>
      </c>
      <c r="J65" s="77">
        <v>42.27</v>
      </c>
      <c r="K65" s="103"/>
      <c r="L65" s="567">
        <f>H65</f>
        <v>84.53</v>
      </c>
      <c r="M65" s="625"/>
      <c r="N65" s="76">
        <f>O65+Q65</f>
        <v>84.54</v>
      </c>
      <c r="O65" s="77">
        <f>J65</f>
        <v>42.27</v>
      </c>
      <c r="P65" s="301"/>
      <c r="Q65" s="408">
        <f>O65</f>
        <v>42.27</v>
      </c>
      <c r="R65" s="625">
        <v>0</v>
      </c>
      <c r="S65" s="386">
        <f>T65+V65</f>
        <v>84.54</v>
      </c>
      <c r="T65" s="77">
        <f>Q65</f>
        <v>42.27</v>
      </c>
      <c r="U65" s="301"/>
      <c r="V65" s="103">
        <f>T65</f>
        <v>42.27</v>
      </c>
      <c r="W65" s="76"/>
      <c r="X65" s="77"/>
      <c r="Y65" s="301"/>
      <c r="Z65" s="408"/>
      <c r="AA65" s="386">
        <f>AB65+AD65</f>
        <v>84.54</v>
      </c>
      <c r="AB65" s="77">
        <f>V65</f>
        <v>42.27</v>
      </c>
      <c r="AC65" s="301"/>
      <c r="AD65" s="92">
        <f>AB65</f>
        <v>42.27</v>
      </c>
      <c r="AF65" s="791"/>
    </row>
    <row r="66" spans="1:32" s="1" customFormat="1" ht="15" customHeight="1">
      <c r="A66" s="38" t="s">
        <v>72</v>
      </c>
      <c r="B66" s="107" t="s">
        <v>175</v>
      </c>
      <c r="C66" s="101" t="s">
        <v>4</v>
      </c>
      <c r="D66" s="341"/>
      <c r="E66" s="21"/>
      <c r="F66" s="84"/>
      <c r="G66" s="20"/>
      <c r="H66" s="20"/>
      <c r="I66" s="20"/>
      <c r="J66" s="20"/>
      <c r="K66" s="65"/>
      <c r="L66" s="258"/>
      <c r="M66" s="621">
        <v>332.87299999999999</v>
      </c>
      <c r="N66" s="75"/>
      <c r="O66" s="20"/>
      <c r="P66" s="298"/>
      <c r="Q66" s="405"/>
      <c r="R66" s="621">
        <v>364.94</v>
      </c>
      <c r="S66" s="372"/>
      <c r="T66" s="20"/>
      <c r="U66" s="298"/>
      <c r="V66" s="65"/>
      <c r="W66" s="75">
        <f>X66+Z66</f>
        <v>479.72294881840003</v>
      </c>
      <c r="X66" s="20">
        <f>X67*X68</f>
        <v>233.8970984</v>
      </c>
      <c r="Y66" s="298"/>
      <c r="Z66" s="405">
        <f>Z67*Z68</f>
        <v>245.82585041839999</v>
      </c>
      <c r="AA66" s="372">
        <f>AB66+AD66</f>
        <v>0</v>
      </c>
      <c r="AB66" s="20">
        <f>AB69*AB67</f>
        <v>0</v>
      </c>
      <c r="AC66" s="298"/>
      <c r="AD66" s="84">
        <f>AD69*AD67</f>
        <v>0</v>
      </c>
      <c r="AF66" s="791"/>
    </row>
    <row r="67" spans="1:32" s="1" customFormat="1" ht="15" customHeight="1">
      <c r="A67" s="38"/>
      <c r="B67" s="140" t="s">
        <v>178</v>
      </c>
      <c r="C67" s="101" t="s">
        <v>10</v>
      </c>
      <c r="D67" s="332"/>
      <c r="E67" s="330"/>
      <c r="F67" s="84"/>
      <c r="G67" s="77"/>
      <c r="H67" s="77"/>
      <c r="I67" s="77"/>
      <c r="J67" s="77"/>
      <c r="K67" s="103"/>
      <c r="L67" s="567"/>
      <c r="M67" s="625">
        <f>M66/M68</f>
        <v>5.2141760651629072</v>
      </c>
      <c r="N67" s="76"/>
      <c r="O67" s="77"/>
      <c r="P67" s="311">
        <v>1.075</v>
      </c>
      <c r="Q67" s="408"/>
      <c r="R67" s="625">
        <v>5.49</v>
      </c>
      <c r="S67" s="386"/>
      <c r="T67" s="77"/>
      <c r="U67" s="311">
        <v>1.07</v>
      </c>
      <c r="V67" s="103"/>
      <c r="W67" s="76"/>
      <c r="X67" s="77">
        <f>4.921*1.18</f>
        <v>5.8067799999999998</v>
      </c>
      <c r="Y67" s="311">
        <v>1.0509999999999999</v>
      </c>
      <c r="Z67" s="408">
        <f>X67*Y67</f>
        <v>6.1029257799999996</v>
      </c>
      <c r="AA67" s="386" t="e">
        <f>AA66/AA69</f>
        <v>#DIV/0!</v>
      </c>
      <c r="AB67" s="77">
        <f>V67</f>
        <v>0</v>
      </c>
      <c r="AC67" s="311">
        <v>1.0620000000000001</v>
      </c>
      <c r="AD67" s="93">
        <f>AB67*AC67</f>
        <v>0</v>
      </c>
      <c r="AF67" s="791"/>
    </row>
    <row r="68" spans="1:32" s="1" customFormat="1" ht="15" customHeight="1">
      <c r="A68" s="38"/>
      <c r="B68" s="139" t="s">
        <v>82</v>
      </c>
      <c r="C68" s="101" t="s">
        <v>9</v>
      </c>
      <c r="D68" s="330"/>
      <c r="E68" s="330"/>
      <c r="F68" s="84"/>
      <c r="G68" s="77"/>
      <c r="H68" s="77"/>
      <c r="I68" s="77"/>
      <c r="J68" s="77"/>
      <c r="K68" s="108"/>
      <c r="L68" s="567"/>
      <c r="M68" s="625">
        <f>63.84</f>
        <v>63.84</v>
      </c>
      <c r="N68" s="76"/>
      <c r="O68" s="77"/>
      <c r="P68" s="301"/>
      <c r="Q68" s="408"/>
      <c r="R68" s="625">
        <v>66.459999999999994</v>
      </c>
      <c r="S68" s="386"/>
      <c r="T68" s="77"/>
      <c r="U68" s="301"/>
      <c r="V68" s="103"/>
      <c r="W68" s="76">
        <f>X68+Z68</f>
        <v>80.56</v>
      </c>
      <c r="X68" s="77">
        <f>X69*X6</f>
        <v>40.28</v>
      </c>
      <c r="Y68" s="301"/>
      <c r="Z68" s="77">
        <f>Z69*Z6</f>
        <v>40.28</v>
      </c>
      <c r="AA68" s="386">
        <f>AB68+AD68</f>
        <v>0</v>
      </c>
      <c r="AB68" s="77">
        <f>V68</f>
        <v>0</v>
      </c>
      <c r="AC68" s="301"/>
      <c r="AD68" s="93">
        <f>AB68</f>
        <v>0</v>
      </c>
      <c r="AF68" s="791"/>
    </row>
    <row r="69" spans="1:32" s="1" customFormat="1" ht="15" customHeight="1">
      <c r="A69" s="38"/>
      <c r="B69" s="139" t="s">
        <v>336</v>
      </c>
      <c r="C69" s="101"/>
      <c r="D69" s="330"/>
      <c r="E69" s="330"/>
      <c r="F69" s="84"/>
      <c r="G69" s="77"/>
      <c r="H69" s="77"/>
      <c r="I69" s="77"/>
      <c r="J69" s="77"/>
      <c r="K69" s="108"/>
      <c r="L69" s="567"/>
      <c r="M69" s="625"/>
      <c r="N69" s="76"/>
      <c r="O69" s="77"/>
      <c r="P69" s="301"/>
      <c r="Q69" s="408"/>
      <c r="R69" s="625"/>
      <c r="S69" s="386"/>
      <c r="T69" s="77"/>
      <c r="U69" s="301"/>
      <c r="V69" s="103"/>
      <c r="W69" s="76"/>
      <c r="X69" s="797">
        <v>0.4</v>
      </c>
      <c r="Y69" s="798"/>
      <c r="Z69" s="797">
        <v>0.4</v>
      </c>
      <c r="AA69" s="386">
        <f>AB69+AD69</f>
        <v>0</v>
      </c>
      <c r="AB69" s="77">
        <f>V69</f>
        <v>0</v>
      </c>
      <c r="AC69" s="301"/>
      <c r="AD69" s="93">
        <f>AB69</f>
        <v>0</v>
      </c>
      <c r="AF69" s="791"/>
    </row>
    <row r="70" spans="1:32" s="128" customFormat="1">
      <c r="A70" s="94" t="s">
        <v>25</v>
      </c>
      <c r="B70" s="95" t="s">
        <v>44</v>
      </c>
      <c r="C70" s="96" t="s">
        <v>4</v>
      </c>
      <c r="D70" s="73"/>
      <c r="E70" s="73"/>
      <c r="F70" s="73"/>
      <c r="G70" s="73"/>
      <c r="H70" s="73">
        <f>H72+H74</f>
        <v>52.629999999999995</v>
      </c>
      <c r="I70" s="73">
        <f>I72+I74</f>
        <v>25.28</v>
      </c>
      <c r="J70" s="73">
        <f>J72+J74</f>
        <v>27.345000000000002</v>
      </c>
      <c r="K70" s="97"/>
      <c r="L70" s="564">
        <f>L72+L74</f>
        <v>51.244999999999997</v>
      </c>
      <c r="M70" s="615">
        <v>65.7</v>
      </c>
      <c r="N70" s="72">
        <f>O70+Q70</f>
        <v>51.244999999999997</v>
      </c>
      <c r="O70" s="73">
        <f>O72</f>
        <v>25.622499999999999</v>
      </c>
      <c r="P70" s="292"/>
      <c r="Q70" s="399">
        <f>Q72</f>
        <v>25.622499999999999</v>
      </c>
      <c r="R70" s="615">
        <f>R72+R74</f>
        <v>43.37</v>
      </c>
      <c r="S70" s="377">
        <f>T70+V70</f>
        <v>53.346508</v>
      </c>
      <c r="T70" s="73">
        <f>T72+T73</f>
        <v>25.622499999999999</v>
      </c>
      <c r="U70" s="292"/>
      <c r="V70" s="97">
        <f>V72+V73</f>
        <v>27.724008000000005</v>
      </c>
      <c r="W70" s="72">
        <f>X70+Z70</f>
        <v>66.786648154999995</v>
      </c>
      <c r="X70" s="399">
        <f>X72+X74</f>
        <v>32.924815000000002</v>
      </c>
      <c r="Y70" s="292"/>
      <c r="Z70" s="399">
        <f>Z72+Z74</f>
        <v>33.861833154999999</v>
      </c>
      <c r="AA70" s="377">
        <f>AB70+AD70</f>
        <v>56.834216400000003</v>
      </c>
      <c r="AB70" s="73">
        <f>AB72+AB73</f>
        <v>27.724008000000005</v>
      </c>
      <c r="AC70" s="292"/>
      <c r="AD70" s="73">
        <f>AD72+AD73</f>
        <v>29.110208400000001</v>
      </c>
      <c r="AF70" s="799">
        <f>W70-S70</f>
        <v>13.440140154999995</v>
      </c>
    </row>
    <row r="71" spans="1:32" s="1" customFormat="1" ht="15" hidden="1" customHeight="1">
      <c r="A71" s="38" t="s">
        <v>146</v>
      </c>
      <c r="B71" s="24" t="s">
        <v>95</v>
      </c>
      <c r="C71" s="101" t="s">
        <v>4</v>
      </c>
      <c r="D71" s="118"/>
      <c r="E71" s="77"/>
      <c r="F71" s="162"/>
      <c r="G71" s="23"/>
      <c r="H71" s="23"/>
      <c r="I71" s="23"/>
      <c r="J71" s="23"/>
      <c r="K71" s="160"/>
      <c r="L71" s="573"/>
      <c r="M71" s="631"/>
      <c r="N71" s="161"/>
      <c r="O71" s="23"/>
      <c r="P71" s="305"/>
      <c r="Q71" s="412"/>
      <c r="R71" s="631"/>
      <c r="S71" s="387"/>
      <c r="T71" s="23" t="e">
        <f>(T14*107+(T13+#REF!+#REF!)*414*1.15*1.15)/1000</f>
        <v>#REF!</v>
      </c>
      <c r="U71" s="305"/>
      <c r="V71" s="160" t="e">
        <f>T71</f>
        <v>#REF!</v>
      </c>
      <c r="W71" s="161"/>
      <c r="X71" s="23" t="e">
        <v>#REF!</v>
      </c>
      <c r="Y71" s="305"/>
      <c r="Z71" s="412" t="e">
        <v>#REF!</v>
      </c>
      <c r="AA71" s="387"/>
      <c r="AB71" s="23" t="e">
        <f>(AB14*122+(AB13+#REF!+#REF!)*414*1.15*1.15*1.15)/1000</f>
        <v>#REF!</v>
      </c>
      <c r="AC71" s="305"/>
      <c r="AD71" s="23" t="e">
        <f>AB71</f>
        <v>#REF!</v>
      </c>
      <c r="AF71" s="791"/>
    </row>
    <row r="72" spans="1:32" s="1" customFormat="1">
      <c r="A72" s="38" t="s">
        <v>73</v>
      </c>
      <c r="B72" s="24" t="s">
        <v>338</v>
      </c>
      <c r="C72" s="800">
        <v>0.01</v>
      </c>
      <c r="D72" s="101"/>
      <c r="E72" s="140"/>
      <c r="F72" s="162"/>
      <c r="G72" s="23"/>
      <c r="H72" s="23">
        <v>51.244999999999997</v>
      </c>
      <c r="I72" s="23">
        <v>24.59</v>
      </c>
      <c r="J72" s="23">
        <v>26.655000000000001</v>
      </c>
      <c r="K72" s="160"/>
      <c r="L72" s="573">
        <f>H72</f>
        <v>51.244999999999997</v>
      </c>
      <c r="M72" s="631">
        <v>65.7</v>
      </c>
      <c r="N72" s="161">
        <f>O72+Q72</f>
        <v>51.244999999999997</v>
      </c>
      <c r="O72" s="23">
        <f>L72/2</f>
        <v>25.622499999999999</v>
      </c>
      <c r="P72" s="305"/>
      <c r="Q72" s="412">
        <f>O72</f>
        <v>25.622499999999999</v>
      </c>
      <c r="R72" s="631">
        <v>43.37</v>
      </c>
      <c r="S72" s="387"/>
      <c r="T72" s="23">
        <f>Q72</f>
        <v>25.622499999999999</v>
      </c>
      <c r="U72" s="305"/>
      <c r="V72" s="160">
        <f>T89*1.04*V8*0.01</f>
        <v>27.724008000000005</v>
      </c>
      <c r="W72" s="161">
        <f>X72+Z72</f>
        <v>51.586648155000006</v>
      </c>
      <c r="X72" s="23">
        <f>0.01*O89*X8</f>
        <v>25.324815000000001</v>
      </c>
      <c r="Y72" s="305"/>
      <c r="Z72" s="23">
        <f>0.01*O89*1.037*Z8</f>
        <v>26.261833155000001</v>
      </c>
      <c r="AA72" s="387"/>
      <c r="AB72" s="23">
        <f>V72</f>
        <v>27.724008000000005</v>
      </c>
      <c r="AC72" s="305"/>
      <c r="AD72" s="162">
        <f>AB89*1.04*AD8*0.01</f>
        <v>29.110208400000001</v>
      </c>
      <c r="AF72" s="791"/>
    </row>
    <row r="73" spans="1:32" s="1" customFormat="1" ht="15" hidden="1" customHeight="1">
      <c r="A73" s="38" t="s">
        <v>74</v>
      </c>
      <c r="B73" s="24" t="s">
        <v>90</v>
      </c>
      <c r="C73" s="101" t="s">
        <v>4</v>
      </c>
      <c r="D73" s="101"/>
      <c r="E73" s="101"/>
      <c r="F73" s="162"/>
      <c r="G73" s="23"/>
      <c r="H73" s="23"/>
      <c r="I73" s="23"/>
      <c r="J73" s="23"/>
      <c r="K73" s="160"/>
      <c r="L73" s="573"/>
      <c r="M73" s="631"/>
      <c r="N73" s="161"/>
      <c r="O73" s="23"/>
      <c r="P73" s="305"/>
      <c r="Q73" s="412"/>
      <c r="R73" s="631"/>
      <c r="S73" s="387"/>
      <c r="T73" s="23"/>
      <c r="U73" s="305"/>
      <c r="V73" s="160"/>
      <c r="W73" s="161"/>
      <c r="X73" s="23"/>
      <c r="Y73" s="305"/>
      <c r="Z73" s="412"/>
      <c r="AA73" s="387"/>
      <c r="AB73" s="23"/>
      <c r="AC73" s="305"/>
      <c r="AD73" s="23"/>
      <c r="AF73" s="791"/>
    </row>
    <row r="74" spans="1:32" s="1" customFormat="1">
      <c r="A74" s="38" t="s">
        <v>145</v>
      </c>
      <c r="B74" s="24" t="s">
        <v>294</v>
      </c>
      <c r="C74" s="101" t="s">
        <v>4</v>
      </c>
      <c r="D74" s="101"/>
      <c r="E74" s="101"/>
      <c r="F74" s="162"/>
      <c r="G74" s="23"/>
      <c r="H74" s="23">
        <v>1.385</v>
      </c>
      <c r="I74" s="23">
        <v>0.69</v>
      </c>
      <c r="J74" s="23">
        <v>0.69</v>
      </c>
      <c r="K74" s="160"/>
      <c r="L74" s="573"/>
      <c r="M74" s="631">
        <v>0</v>
      </c>
      <c r="N74" s="161"/>
      <c r="O74" s="23"/>
      <c r="P74" s="305"/>
      <c r="Q74" s="412"/>
      <c r="R74" s="631">
        <v>0</v>
      </c>
      <c r="S74" s="387"/>
      <c r="T74" s="23"/>
      <c r="U74" s="305"/>
      <c r="V74" s="160"/>
      <c r="W74" s="161">
        <f>X74+Z74</f>
        <v>15.2</v>
      </c>
      <c r="X74" s="23">
        <v>7.6</v>
      </c>
      <c r="Y74" s="305"/>
      <c r="Z74" s="412">
        <v>7.6</v>
      </c>
      <c r="AA74" s="387"/>
      <c r="AB74" s="23"/>
      <c r="AC74" s="305"/>
      <c r="AD74" s="23"/>
      <c r="AF74" s="791"/>
    </row>
    <row r="75" spans="1:32" s="1" customFormat="1" ht="15" hidden="1" customHeight="1">
      <c r="A75" s="38" t="s">
        <v>187</v>
      </c>
      <c r="B75" s="24" t="s">
        <v>62</v>
      </c>
      <c r="C75" s="29"/>
      <c r="D75" s="101"/>
      <c r="E75" s="101"/>
      <c r="F75" s="84"/>
      <c r="G75" s="23"/>
      <c r="H75" s="23"/>
      <c r="I75" s="23"/>
      <c r="J75" s="23"/>
      <c r="K75" s="160"/>
      <c r="L75" s="573"/>
      <c r="M75" s="631"/>
      <c r="N75" s="161"/>
      <c r="O75" s="23"/>
      <c r="P75" s="305"/>
      <c r="Q75" s="412"/>
      <c r="R75" s="631"/>
      <c r="S75" s="387"/>
      <c r="T75" s="23"/>
      <c r="U75" s="305"/>
      <c r="V75" s="160"/>
      <c r="W75" s="161"/>
      <c r="X75" s="23"/>
      <c r="Y75" s="305"/>
      <c r="Z75" s="412"/>
      <c r="AA75" s="387"/>
      <c r="AB75" s="23"/>
      <c r="AC75" s="305"/>
      <c r="AD75" s="23"/>
      <c r="AF75" s="791"/>
    </row>
    <row r="76" spans="1:32" s="1" customFormat="1" ht="15" hidden="1" customHeight="1">
      <c r="A76" s="38"/>
      <c r="B76" s="117" t="s">
        <v>8</v>
      </c>
      <c r="C76" s="29" t="s">
        <v>31</v>
      </c>
      <c r="D76" s="101"/>
      <c r="E76" s="101"/>
      <c r="F76" s="84"/>
      <c r="G76" s="23"/>
      <c r="H76" s="23"/>
      <c r="I76" s="23"/>
      <c r="J76" s="23"/>
      <c r="K76" s="160"/>
      <c r="L76" s="573"/>
      <c r="M76" s="631"/>
      <c r="N76" s="161"/>
      <c r="O76" s="23"/>
      <c r="P76" s="305"/>
      <c r="Q76" s="412"/>
      <c r="R76" s="631"/>
      <c r="S76" s="387"/>
      <c r="T76" s="23"/>
      <c r="U76" s="305"/>
      <c r="V76" s="160"/>
      <c r="W76" s="161"/>
      <c r="X76" s="23"/>
      <c r="Y76" s="305"/>
      <c r="Z76" s="412"/>
      <c r="AA76" s="387"/>
      <c r="AB76" s="23"/>
      <c r="AC76" s="305"/>
      <c r="AD76" s="23"/>
      <c r="AF76" s="791"/>
    </row>
    <row r="77" spans="1:32" s="1" customFormat="1" ht="15" hidden="1" customHeight="1">
      <c r="A77" s="38"/>
      <c r="B77" s="117" t="s">
        <v>63</v>
      </c>
      <c r="C77" s="29" t="s">
        <v>12</v>
      </c>
      <c r="D77" s="101"/>
      <c r="E77" s="101"/>
      <c r="F77" s="84"/>
      <c r="G77" s="23"/>
      <c r="H77" s="23"/>
      <c r="I77" s="23"/>
      <c r="J77" s="23"/>
      <c r="K77" s="160"/>
      <c r="L77" s="573"/>
      <c r="M77" s="631"/>
      <c r="N77" s="161"/>
      <c r="O77" s="23"/>
      <c r="P77" s="305"/>
      <c r="Q77" s="412"/>
      <c r="R77" s="631"/>
      <c r="S77" s="387"/>
      <c r="T77" s="23"/>
      <c r="U77" s="305"/>
      <c r="V77" s="160"/>
      <c r="W77" s="161"/>
      <c r="X77" s="23"/>
      <c r="Y77" s="305"/>
      <c r="Z77" s="412"/>
      <c r="AA77" s="387"/>
      <c r="AB77" s="23"/>
      <c r="AC77" s="305"/>
      <c r="AD77" s="23"/>
      <c r="AF77" s="791"/>
    </row>
    <row r="78" spans="1:32" s="2" customFormat="1" ht="20.25" customHeight="1">
      <c r="A78" s="814" t="s">
        <v>27</v>
      </c>
      <c r="B78" s="814"/>
      <c r="C78" s="138" t="s">
        <v>4</v>
      </c>
      <c r="D78" s="135"/>
      <c r="E78" s="135"/>
      <c r="F78" s="435"/>
      <c r="G78" s="105"/>
      <c r="H78" s="105">
        <v>0</v>
      </c>
      <c r="I78" s="105">
        <v>0</v>
      </c>
      <c r="J78" s="105">
        <v>0</v>
      </c>
      <c r="K78" s="106"/>
      <c r="L78" s="260">
        <v>0</v>
      </c>
      <c r="M78" s="632">
        <v>0</v>
      </c>
      <c r="N78" s="78">
        <v>0</v>
      </c>
      <c r="O78" s="105">
        <v>0</v>
      </c>
      <c r="P78" s="306"/>
      <c r="Q78" s="413">
        <v>0</v>
      </c>
      <c r="R78" s="632">
        <v>0</v>
      </c>
      <c r="S78" s="374">
        <f>T78+V78</f>
        <v>0</v>
      </c>
      <c r="T78" s="105">
        <f>Q78</f>
        <v>0</v>
      </c>
      <c r="U78" s="306"/>
      <c r="V78" s="106">
        <f>T78</f>
        <v>0</v>
      </c>
      <c r="W78" s="78">
        <v>0</v>
      </c>
      <c r="X78" s="105">
        <v>0</v>
      </c>
      <c r="Y78" s="306"/>
      <c r="Z78" s="413">
        <v>0</v>
      </c>
      <c r="AA78" s="374">
        <f>AB78+AD78</f>
        <v>0</v>
      </c>
      <c r="AB78" s="105">
        <f>V78</f>
        <v>0</v>
      </c>
      <c r="AC78" s="306"/>
      <c r="AD78" s="105">
        <f>AB78</f>
        <v>0</v>
      </c>
      <c r="AF78" s="787"/>
    </row>
    <row r="79" spans="1:32" s="3" customFormat="1">
      <c r="A79" s="814" t="s">
        <v>28</v>
      </c>
      <c r="B79" s="814"/>
      <c r="C79" s="138" t="s">
        <v>4</v>
      </c>
      <c r="D79" s="105"/>
      <c r="E79" s="105"/>
      <c r="F79" s="435"/>
      <c r="G79" s="105"/>
      <c r="H79" s="105">
        <v>0</v>
      </c>
      <c r="I79" s="105">
        <v>0</v>
      </c>
      <c r="J79" s="105">
        <v>0</v>
      </c>
      <c r="K79" s="106"/>
      <c r="L79" s="260">
        <v>0</v>
      </c>
      <c r="M79" s="632">
        <v>0</v>
      </c>
      <c r="N79" s="78">
        <v>0</v>
      </c>
      <c r="O79" s="105">
        <v>0</v>
      </c>
      <c r="P79" s="306"/>
      <c r="Q79" s="413">
        <v>0</v>
      </c>
      <c r="R79" s="632">
        <v>0</v>
      </c>
      <c r="S79" s="374">
        <v>0</v>
      </c>
      <c r="T79" s="105">
        <v>0</v>
      </c>
      <c r="U79" s="306"/>
      <c r="V79" s="106">
        <v>0</v>
      </c>
      <c r="W79" s="78">
        <v>0</v>
      </c>
      <c r="X79" s="105">
        <v>0</v>
      </c>
      <c r="Y79" s="306"/>
      <c r="Z79" s="413">
        <v>0</v>
      </c>
      <c r="AA79" s="374">
        <v>0</v>
      </c>
      <c r="AB79" s="105">
        <v>0</v>
      </c>
      <c r="AC79" s="306"/>
      <c r="AD79" s="105">
        <v>0</v>
      </c>
      <c r="AF79" s="785"/>
    </row>
    <row r="80" spans="1:32" s="7" customFormat="1" ht="15" hidden="1" customHeight="1">
      <c r="A80" s="31"/>
      <c r="B80" s="122" t="s">
        <v>35</v>
      </c>
      <c r="C80" s="31" t="s">
        <v>36</v>
      </c>
      <c r="D80" s="31"/>
      <c r="E80" s="31"/>
      <c r="F80" s="434"/>
      <c r="G80" s="14"/>
      <c r="H80" s="14"/>
      <c r="I80" s="14"/>
      <c r="J80" s="14"/>
      <c r="K80" s="64"/>
      <c r="L80" s="446"/>
      <c r="M80" s="633"/>
      <c r="N80" s="89"/>
      <c r="O80" s="14"/>
      <c r="P80" s="307"/>
      <c r="Q80" s="414"/>
      <c r="R80" s="633"/>
      <c r="S80" s="388"/>
      <c r="T80" s="14"/>
      <c r="U80" s="307"/>
      <c r="V80" s="64"/>
      <c r="W80" s="89"/>
      <c r="X80" s="14"/>
      <c r="Y80" s="307"/>
      <c r="Z80" s="414"/>
      <c r="AA80" s="388"/>
      <c r="AB80" s="14"/>
      <c r="AC80" s="307"/>
      <c r="AD80" s="14"/>
      <c r="AF80" s="793"/>
    </row>
    <row r="81" spans="1:32" s="7" customFormat="1" ht="15" hidden="1" customHeight="1">
      <c r="A81" s="31"/>
      <c r="B81" s="122" t="s">
        <v>39</v>
      </c>
      <c r="C81" s="31" t="s">
        <v>36</v>
      </c>
      <c r="D81" s="31"/>
      <c r="E81" s="31"/>
      <c r="F81" s="434"/>
      <c r="G81" s="14"/>
      <c r="H81" s="14"/>
      <c r="I81" s="14"/>
      <c r="J81" s="14"/>
      <c r="K81" s="64"/>
      <c r="L81" s="446"/>
      <c r="M81" s="633"/>
      <c r="N81" s="89"/>
      <c r="O81" s="14"/>
      <c r="P81" s="307"/>
      <c r="Q81" s="414"/>
      <c r="R81" s="633"/>
      <c r="S81" s="388"/>
      <c r="T81" s="14"/>
      <c r="U81" s="307"/>
      <c r="V81" s="64"/>
      <c r="W81" s="89"/>
      <c r="X81" s="14"/>
      <c r="Y81" s="307"/>
      <c r="Z81" s="414"/>
      <c r="AA81" s="388"/>
      <c r="AB81" s="14"/>
      <c r="AC81" s="307"/>
      <c r="AD81" s="14"/>
      <c r="AF81" s="793"/>
    </row>
    <row r="82" spans="1:32" s="7" customFormat="1" ht="15" hidden="1" customHeight="1">
      <c r="A82" s="31"/>
      <c r="B82" s="122" t="s">
        <v>40</v>
      </c>
      <c r="C82" s="31" t="s">
        <v>36</v>
      </c>
      <c r="D82" s="31"/>
      <c r="E82" s="31"/>
      <c r="F82" s="434"/>
      <c r="G82" s="14"/>
      <c r="H82" s="14"/>
      <c r="I82" s="14"/>
      <c r="J82" s="14"/>
      <c r="K82" s="64"/>
      <c r="L82" s="446"/>
      <c r="M82" s="633"/>
      <c r="N82" s="89"/>
      <c r="O82" s="14"/>
      <c r="P82" s="307"/>
      <c r="Q82" s="414"/>
      <c r="R82" s="633"/>
      <c r="S82" s="388"/>
      <c r="T82" s="14"/>
      <c r="U82" s="307"/>
      <c r="V82" s="64"/>
      <c r="W82" s="89"/>
      <c r="X82" s="14"/>
      <c r="Y82" s="307"/>
      <c r="Z82" s="414"/>
      <c r="AA82" s="388"/>
      <c r="AB82" s="14"/>
      <c r="AC82" s="307"/>
      <c r="AD82" s="14"/>
      <c r="AF82" s="793"/>
    </row>
    <row r="83" spans="1:32" s="7" customFormat="1" ht="15" hidden="1" customHeight="1">
      <c r="A83" s="31"/>
      <c r="B83" s="141" t="s">
        <v>41</v>
      </c>
      <c r="C83" s="142">
        <v>0.03</v>
      </c>
      <c r="D83" s="142"/>
      <c r="E83" s="142"/>
      <c r="F83" s="434"/>
      <c r="G83" s="14"/>
      <c r="H83" s="14"/>
      <c r="I83" s="14"/>
      <c r="J83" s="14"/>
      <c r="K83" s="64"/>
      <c r="L83" s="446"/>
      <c r="M83" s="633"/>
      <c r="N83" s="581"/>
      <c r="O83" s="143"/>
      <c r="P83" s="308"/>
      <c r="Q83" s="415"/>
      <c r="R83" s="624"/>
      <c r="S83" s="389"/>
      <c r="T83" s="143"/>
      <c r="U83" s="308"/>
      <c r="V83" s="538"/>
      <c r="W83" s="581"/>
      <c r="X83" s="143"/>
      <c r="Y83" s="308"/>
      <c r="Z83" s="415"/>
      <c r="AA83" s="389"/>
      <c r="AB83" s="143"/>
      <c r="AC83" s="308"/>
      <c r="AD83" s="143"/>
      <c r="AF83" s="793"/>
    </row>
    <row r="84" spans="1:32" s="7" customFormat="1" ht="15" hidden="1" customHeight="1">
      <c r="A84" s="31"/>
      <c r="B84" s="141" t="s">
        <v>134</v>
      </c>
      <c r="C84" s="142">
        <v>0.2</v>
      </c>
      <c r="D84" s="142"/>
      <c r="E84" s="142"/>
      <c r="F84" s="434"/>
      <c r="G84" s="14"/>
      <c r="H84" s="14"/>
      <c r="I84" s="14"/>
      <c r="J84" s="14"/>
      <c r="K84" s="64"/>
      <c r="L84" s="446"/>
      <c r="M84" s="633"/>
      <c r="N84" s="581"/>
      <c r="O84" s="143"/>
      <c r="P84" s="308"/>
      <c r="Q84" s="415"/>
      <c r="R84" s="624"/>
      <c r="S84" s="389"/>
      <c r="T84" s="143"/>
      <c r="U84" s="308"/>
      <c r="V84" s="538"/>
      <c r="W84" s="581"/>
      <c r="X84" s="143"/>
      <c r="Y84" s="308"/>
      <c r="Z84" s="415"/>
      <c r="AA84" s="389"/>
      <c r="AB84" s="143"/>
      <c r="AC84" s="308"/>
      <c r="AD84" s="143"/>
      <c r="AF84" s="793"/>
    </row>
    <row r="85" spans="1:32" s="2" customFormat="1">
      <c r="A85" s="123"/>
      <c r="B85" s="322" t="s">
        <v>32</v>
      </c>
      <c r="C85" s="323" t="s">
        <v>4</v>
      </c>
      <c r="D85" s="333"/>
      <c r="E85" s="324"/>
      <c r="F85" s="437"/>
      <c r="G85" s="324"/>
      <c r="H85" s="324">
        <f>H16+H78+H79</f>
        <v>5124.9699999999993</v>
      </c>
      <c r="I85" s="324">
        <f>I16+I78+I79</f>
        <v>2459.2000000000003</v>
      </c>
      <c r="J85" s="324">
        <f>J16+J78+J79</f>
        <v>2665.77</v>
      </c>
      <c r="K85" s="346"/>
      <c r="L85" s="574">
        <f>L16+L78+L79</f>
        <v>5885.2057062600015</v>
      </c>
      <c r="M85" s="634">
        <f>M70+M59+M18</f>
        <v>3248.7000000000003</v>
      </c>
      <c r="N85" s="325">
        <f>O85+Q85</f>
        <v>5213.7433222434638</v>
      </c>
      <c r="O85" s="326">
        <f>O16+O78+O79</f>
        <v>2546.4251798687346</v>
      </c>
      <c r="P85" s="327"/>
      <c r="Q85" s="416">
        <f>Q16+Q78+Q79</f>
        <v>2667.3181423747292</v>
      </c>
      <c r="R85" s="634">
        <f>R70+R59+R18</f>
        <v>3547.2499999999995</v>
      </c>
      <c r="S85" s="390">
        <f>S16+S78+S79</f>
        <v>5472.7562344073976</v>
      </c>
      <c r="T85" s="326">
        <f>T16+T78+T79</f>
        <v>2667.3181423747292</v>
      </c>
      <c r="U85" s="327"/>
      <c r="V85" s="328">
        <f>V16+V78+V79</f>
        <v>2805.4380920326685</v>
      </c>
      <c r="W85" s="325">
        <f>X85+Z85</f>
        <v>5364.3714471923249</v>
      </c>
      <c r="X85" s="326">
        <f>X79+X78+X70+X59+X18</f>
        <v>2640.6206176860292</v>
      </c>
      <c r="Y85" s="327"/>
      <c r="Z85" s="416">
        <f>Z79+Z78+Z70+Z59+Z18</f>
        <v>2723.7508295062958</v>
      </c>
      <c r="AA85" s="390">
        <f>AA16+AA78+AA79</f>
        <v>5728.4317095691122</v>
      </c>
      <c r="AB85" s="326">
        <f>AB16+AB78+AB79</f>
        <v>2805.4380920326685</v>
      </c>
      <c r="AC85" s="327"/>
      <c r="AD85" s="326">
        <f>AD16+AD78+AD79</f>
        <v>2922.9936175364437</v>
      </c>
      <c r="AE85" s="585">
        <f>AD85+AB85+V85+T85+Q85</f>
        <v>13868.506086351241</v>
      </c>
      <c r="AF85" s="801">
        <f>W85-S85</f>
        <v>-108.38478721507272</v>
      </c>
    </row>
    <row r="86" spans="1:32" s="2" customFormat="1" ht="28.5" hidden="1" customHeight="1">
      <c r="A86" s="123"/>
      <c r="B86" s="477" t="s">
        <v>300</v>
      </c>
      <c r="C86" s="323" t="s">
        <v>4</v>
      </c>
      <c r="D86" s="333"/>
      <c r="E86" s="324"/>
      <c r="F86" s="437"/>
      <c r="G86" s="324"/>
      <c r="H86" s="324"/>
      <c r="I86" s="324"/>
      <c r="J86" s="324"/>
      <c r="K86" s="346"/>
      <c r="L86" s="574"/>
      <c r="M86" s="634"/>
      <c r="N86" s="325"/>
      <c r="O86" s="326"/>
      <c r="P86" s="327"/>
      <c r="Q86" s="416"/>
      <c r="R86" s="634"/>
      <c r="S86" s="390"/>
      <c r="T86" s="328"/>
      <c r="U86" s="327"/>
      <c r="V86" s="328"/>
      <c r="W86" s="325"/>
      <c r="X86" s="328"/>
      <c r="Y86" s="327"/>
      <c r="Z86" s="416"/>
      <c r="AA86" s="390"/>
      <c r="AB86" s="328"/>
      <c r="AC86" s="327"/>
      <c r="AD86" s="326"/>
      <c r="AE86" s="337"/>
      <c r="AF86" s="784"/>
    </row>
    <row r="87" spans="1:32" s="2" customFormat="1">
      <c r="A87" s="123"/>
      <c r="B87" s="322" t="s">
        <v>170</v>
      </c>
      <c r="C87" s="323" t="s">
        <v>4</v>
      </c>
      <c r="D87" s="323"/>
      <c r="E87" s="324"/>
      <c r="F87" s="431"/>
      <c r="G87" s="324"/>
      <c r="H87" s="324"/>
      <c r="I87" s="324"/>
      <c r="J87" s="324"/>
      <c r="K87" s="346"/>
      <c r="L87" s="574"/>
      <c r="M87" s="634"/>
      <c r="N87" s="325"/>
      <c r="O87" s="326">
        <f>O88-O85</f>
        <v>119.34482013126535</v>
      </c>
      <c r="P87" s="327"/>
      <c r="Q87" s="416">
        <f>Q88-Q85</f>
        <v>-1.5481423747291956</v>
      </c>
      <c r="R87" s="634"/>
      <c r="S87" s="390"/>
      <c r="T87" s="328">
        <f>T88-T85</f>
        <v>-1.5481423747291956</v>
      </c>
      <c r="U87" s="327"/>
      <c r="V87" s="328">
        <f>V88-V85</f>
        <v>-6.3795920326683699</v>
      </c>
      <c r="W87" s="325"/>
      <c r="X87" s="328">
        <f>25.15*X8-X85</f>
        <v>-108.0156176860296</v>
      </c>
      <c r="Y87" s="327"/>
      <c r="Z87" s="416">
        <f>25.15*1.037*Z8-Z85</f>
        <v>-97.439444506296695</v>
      </c>
      <c r="AA87" s="390"/>
      <c r="AB87" s="328">
        <f>AB88-AB85</f>
        <v>-6.3795920326683699</v>
      </c>
      <c r="AC87" s="327"/>
      <c r="AD87" s="326">
        <f>AD88-AD85</f>
        <v>15.856382463556201</v>
      </c>
      <c r="AE87" s="337">
        <f>AD87+AB87+V87+T87+Q87</f>
        <v>9.1364876107036253E-4</v>
      </c>
      <c r="AF87" s="784">
        <f>Z87+X87</f>
        <v>-205.4550621923263</v>
      </c>
    </row>
    <row r="88" spans="1:32" s="2" customFormat="1">
      <c r="A88" s="123"/>
      <c r="B88" s="124" t="s">
        <v>171</v>
      </c>
      <c r="C88" s="125" t="s">
        <v>4</v>
      </c>
      <c r="D88" s="82"/>
      <c r="E88" s="82"/>
      <c r="F88" s="438"/>
      <c r="G88" s="32"/>
      <c r="H88" s="32">
        <f>H85</f>
        <v>5124.9699999999993</v>
      </c>
      <c r="I88" s="91">
        <f>I85</f>
        <v>2459.2000000000003</v>
      </c>
      <c r="J88" s="32">
        <f>J85</f>
        <v>2665.77</v>
      </c>
      <c r="K88" s="112"/>
      <c r="L88" s="569">
        <f>L85</f>
        <v>5885.2057062600015</v>
      </c>
      <c r="M88" s="623">
        <f>M85</f>
        <v>3248.7000000000003</v>
      </c>
      <c r="N88" s="81">
        <f>O88+Q88</f>
        <v>5331.54</v>
      </c>
      <c r="O88" s="272">
        <f>O89*O8</f>
        <v>2665.77</v>
      </c>
      <c r="P88" s="300"/>
      <c r="Q88" s="417">
        <f>Q89*Q8</f>
        <v>2665.77</v>
      </c>
      <c r="R88" s="623">
        <f>R85</f>
        <v>3547.2499999999995</v>
      </c>
      <c r="S88" s="391">
        <f>T88+V88</f>
        <v>5464.8284999999996</v>
      </c>
      <c r="T88" s="272">
        <f>T89*T8</f>
        <v>2665.77</v>
      </c>
      <c r="U88" s="300"/>
      <c r="V88" s="655">
        <f>V89*V8</f>
        <v>2799.0585000000001</v>
      </c>
      <c r="W88" s="81">
        <f>X88+Z88</f>
        <v>5158.9163849999986</v>
      </c>
      <c r="X88" s="272">
        <f>X87+X85</f>
        <v>2532.6049999999996</v>
      </c>
      <c r="Y88" s="300"/>
      <c r="Z88" s="417">
        <f>Z87+Z85</f>
        <v>2626.3113849999991</v>
      </c>
      <c r="AA88" s="391">
        <f>AB88+AD88</f>
        <v>5737.9084999999995</v>
      </c>
      <c r="AB88" s="272">
        <f>AB89*AB8</f>
        <v>2799.0585000000001</v>
      </c>
      <c r="AC88" s="300"/>
      <c r="AD88" s="272">
        <v>2938.85</v>
      </c>
      <c r="AE88" s="337">
        <f>AD88+AB88+V88+T88+Q88</f>
        <v>13868.507000000001</v>
      </c>
      <c r="AF88" s="784"/>
    </row>
    <row r="89" spans="1:32" s="5" customFormat="1">
      <c r="A89" s="126"/>
      <c r="B89" s="127" t="s">
        <v>144</v>
      </c>
      <c r="C89" s="12" t="s">
        <v>31</v>
      </c>
      <c r="D89" s="32"/>
      <c r="E89" s="32"/>
      <c r="F89" s="438"/>
      <c r="G89" s="32"/>
      <c r="H89" s="90">
        <f>H88/H8</f>
        <v>24.174386792452829</v>
      </c>
      <c r="I89" s="32">
        <f>I88/I8</f>
        <v>23.200000000000003</v>
      </c>
      <c r="J89" s="334">
        <f>J88/J8</f>
        <v>25.148773584905662</v>
      </c>
      <c r="K89" s="347"/>
      <c r="L89" s="566">
        <f>L88/L8</f>
        <v>27.760404274811329</v>
      </c>
      <c r="M89" s="620">
        <f>M88/M8</f>
        <v>18.800347222222225</v>
      </c>
      <c r="N89" s="74">
        <f>N88/N8</f>
        <v>25.148773584905662</v>
      </c>
      <c r="O89" s="273">
        <f>J89</f>
        <v>25.148773584905662</v>
      </c>
      <c r="P89" s="297"/>
      <c r="Q89" s="418">
        <f>J89</f>
        <v>25.148773584905662</v>
      </c>
      <c r="R89" s="620">
        <f>R88/R8</f>
        <v>20.572116221075216</v>
      </c>
      <c r="S89" s="381">
        <f>S88/S8</f>
        <v>25.7774929245283</v>
      </c>
      <c r="T89" s="273">
        <f>Q89</f>
        <v>25.148773584905662</v>
      </c>
      <c r="U89" s="297"/>
      <c r="V89" s="656">
        <f>T89*1.05</f>
        <v>26.406212264150945</v>
      </c>
      <c r="W89" s="74">
        <f>W88/W8</f>
        <v>25.615274999999997</v>
      </c>
      <c r="X89" s="272">
        <f>X88/X8</f>
        <v>25.15</v>
      </c>
      <c r="Y89" s="297"/>
      <c r="Z89" s="272">
        <f>Z88/Z8</f>
        <v>26.080549999999995</v>
      </c>
      <c r="AA89" s="381">
        <f>AA88/AA12</f>
        <v>204.92530357142854</v>
      </c>
      <c r="AB89" s="273">
        <f>V89</f>
        <v>26.406212264150945</v>
      </c>
      <c r="AC89" s="297"/>
      <c r="AD89" s="273">
        <f>AD88/AD8</f>
        <v>27.724999999999998</v>
      </c>
      <c r="AE89" s="337">
        <f>AE88-AE85</f>
        <v>9.1364876061561517E-4</v>
      </c>
      <c r="AF89" s="784"/>
    </row>
    <row r="90" spans="1:32" s="5" customFormat="1" ht="17.25" customHeight="1" thickBot="1">
      <c r="A90" s="39"/>
      <c r="B90" s="37" t="s">
        <v>87</v>
      </c>
      <c r="C90" s="339" t="s">
        <v>7</v>
      </c>
      <c r="D90" s="339"/>
      <c r="E90" s="339"/>
      <c r="F90" s="428"/>
      <c r="G90" s="428"/>
      <c r="H90" s="428"/>
      <c r="I90" s="428"/>
      <c r="J90" s="428"/>
      <c r="K90" s="65"/>
      <c r="L90" s="575">
        <f>L89/J89</f>
        <v>1.1038472385577154</v>
      </c>
      <c r="M90" s="635"/>
      <c r="N90" s="582"/>
      <c r="O90" s="248">
        <f>O89/J89</f>
        <v>1</v>
      </c>
      <c r="P90" s="309"/>
      <c r="Q90" s="419">
        <f>Q89/O89</f>
        <v>1</v>
      </c>
      <c r="R90" s="635"/>
      <c r="S90" s="381"/>
      <c r="T90" s="248">
        <f>T89/Q89</f>
        <v>1</v>
      </c>
      <c r="U90" s="309"/>
      <c r="V90" s="657">
        <f>V89/Q89</f>
        <v>1.05</v>
      </c>
      <c r="W90" s="665"/>
      <c r="X90" s="666">
        <v>1</v>
      </c>
      <c r="Y90" s="667"/>
      <c r="Z90" s="668">
        <f>Z89/X89</f>
        <v>1.0369999999999999</v>
      </c>
      <c r="AA90" s="669"/>
      <c r="AB90" s="248">
        <f>AB89/V89</f>
        <v>1</v>
      </c>
      <c r="AC90" s="309"/>
      <c r="AD90" s="248">
        <f>AD89/V89</f>
        <v>1.0499423288223522</v>
      </c>
      <c r="AF90" s="794"/>
    </row>
    <row r="91" spans="1:32" ht="15.75" thickBot="1">
      <c r="B91" s="36"/>
      <c r="L91" s="253"/>
      <c r="M91" s="253"/>
      <c r="N91" s="253"/>
      <c r="O91" s="254"/>
      <c r="P91" s="254"/>
      <c r="Q91" s="255"/>
      <c r="R91" s="607"/>
      <c r="S91" s="33"/>
      <c r="T91" s="34"/>
      <c r="U91" s="34"/>
      <c r="V91" s="34"/>
      <c r="W91" s="33"/>
      <c r="X91" s="34"/>
      <c r="Y91" s="34"/>
      <c r="Z91" s="34"/>
      <c r="AA91" s="34"/>
      <c r="AB91" s="34"/>
      <c r="AC91" s="34"/>
      <c r="AD91" s="34"/>
      <c r="AE91" s="50">
        <f>AE85/AE8</f>
        <v>26.166992615757056</v>
      </c>
      <c r="AF91" s="50"/>
    </row>
    <row r="92" spans="1:32" ht="15" hidden="1" customHeight="1">
      <c r="O92" s="33"/>
      <c r="P92" s="33"/>
      <c r="Q92" s="33"/>
      <c r="R92" s="33"/>
    </row>
    <row r="93" spans="1:32" ht="15" hidden="1" customHeight="1">
      <c r="L93" s="367"/>
      <c r="M93" s="367"/>
      <c r="O93" s="342">
        <f>(J88-O89)*O12</f>
        <v>36968.697169811319</v>
      </c>
      <c r="P93" s="40"/>
      <c r="Q93" s="40"/>
      <c r="R93" s="40"/>
      <c r="AA93" s="137"/>
    </row>
    <row r="100" spans="15:26" ht="15" hidden="1" customHeight="1">
      <c r="T100" s="8">
        <v>1.1499999999999999</v>
      </c>
      <c r="U100" s="8">
        <v>1.32</v>
      </c>
      <c r="V100" s="8">
        <v>1.52</v>
      </c>
      <c r="X100" s="8">
        <v>1.1499999999999999</v>
      </c>
      <c r="Y100" s="8">
        <v>1.32</v>
      </c>
      <c r="Z100" s="8">
        <v>1.52</v>
      </c>
    </row>
    <row r="101" spans="15:26" ht="15" hidden="1" customHeight="1">
      <c r="S101" s="9">
        <v>360</v>
      </c>
      <c r="T101" s="8">
        <f>$S$101*T100</f>
        <v>413.99999999999994</v>
      </c>
      <c r="U101" s="8">
        <f>$S$101*U100</f>
        <v>475.20000000000005</v>
      </c>
      <c r="V101" s="8">
        <f>$S$101*V100</f>
        <v>547.20000000000005</v>
      </c>
      <c r="W101" s="9">
        <v>360</v>
      </c>
      <c r="X101" s="8">
        <f>$S$101*X100</f>
        <v>413.99999999999994</v>
      </c>
      <c r="Y101" s="8">
        <f>$S$101*Y100</f>
        <v>475.20000000000005</v>
      </c>
      <c r="Z101" s="8">
        <f>$S$101*Z100</f>
        <v>547.20000000000005</v>
      </c>
    </row>
    <row r="102" spans="15:26" ht="15" hidden="1" customHeight="1">
      <c r="T102" s="137">
        <f>T101/S101</f>
        <v>1.1499999999999999</v>
      </c>
      <c r="U102" s="137">
        <f>U101/T101</f>
        <v>1.147826086956522</v>
      </c>
      <c r="V102" s="137">
        <f>V101/U101</f>
        <v>1.1515151515151516</v>
      </c>
      <c r="X102" s="137">
        <f>X101/W101</f>
        <v>1.1499999999999999</v>
      </c>
      <c r="Y102" s="137">
        <f>Y101/X101</f>
        <v>1.147826086956522</v>
      </c>
      <c r="Z102" s="137">
        <f>Z101/Y101</f>
        <v>1.1515151515151516</v>
      </c>
    </row>
    <row r="103" spans="15:26" ht="15" hidden="1" customHeight="1"/>
    <row r="104" spans="15:26" ht="15" hidden="1" customHeight="1">
      <c r="U104" s="8">
        <f>U101/S101</f>
        <v>1.32</v>
      </c>
      <c r="V104" s="8">
        <f>V101/S101</f>
        <v>1.52</v>
      </c>
      <c r="Y104" s="8">
        <f>Y101/W101</f>
        <v>1.32</v>
      </c>
      <c r="Z104" s="8">
        <f>Z101/W101</f>
        <v>1.52</v>
      </c>
    </row>
    <row r="105" spans="15:26" ht="15" hidden="1" customHeight="1"/>
    <row r="106" spans="15:26" ht="15" hidden="1" customHeight="1"/>
    <row r="107" spans="15:26" ht="18" hidden="1" customHeight="1"/>
    <row r="108" spans="15:26" ht="15" hidden="1" customHeight="1"/>
    <row r="109" spans="15:26" ht="15" hidden="1" customHeight="1">
      <c r="O109" s="342">
        <f>J88*O12-O88</f>
        <v>34655.01</v>
      </c>
    </row>
    <row r="110" spans="15:26" ht="15" hidden="1" customHeight="1"/>
  </sheetData>
  <mergeCells count="15">
    <mergeCell ref="B1:AD1"/>
    <mergeCell ref="A4:A5"/>
    <mergeCell ref="B4:B5"/>
    <mergeCell ref="C4:C5"/>
    <mergeCell ref="F4:G4"/>
    <mergeCell ref="H4:K4"/>
    <mergeCell ref="S4:V4"/>
    <mergeCell ref="AA4:AD4"/>
    <mergeCell ref="N3:Q3"/>
    <mergeCell ref="N4:Q4"/>
    <mergeCell ref="AF4:AF5"/>
    <mergeCell ref="A16:B16"/>
    <mergeCell ref="A78:B78"/>
    <mergeCell ref="A79:B79"/>
    <mergeCell ref="W4:Z4"/>
  </mergeCells>
  <phoneticPr fontId="0" type="noConversion"/>
  <pageMargins left="0.19685039370078741" right="0.19685039370078741" top="0.19685039370078741" bottom="0.19685039370078741" header="0.19685039370078741" footer="0.19685039370078741"/>
  <pageSetup paperSize="9" scale="53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topLeftCell="A16" workbookViewId="0">
      <selection activeCell="F40" sqref="F40"/>
    </sheetView>
  </sheetViews>
  <sheetFormatPr defaultRowHeight="15"/>
  <cols>
    <col min="3" max="3" width="9.5703125" bestFit="1" customWidth="1"/>
  </cols>
  <sheetData>
    <row r="1" spans="2:19" ht="26.25">
      <c r="F1" s="828" t="s">
        <v>215</v>
      </c>
      <c r="G1" s="828"/>
      <c r="H1" s="828"/>
      <c r="I1" s="828"/>
      <c r="J1" s="828"/>
      <c r="K1" s="828"/>
      <c r="L1" s="828"/>
      <c r="M1" s="828"/>
    </row>
    <row r="5" spans="2:19">
      <c r="B5" s="43" t="s">
        <v>156</v>
      </c>
      <c r="F5" s="43" t="s">
        <v>217</v>
      </c>
      <c r="J5" s="829" t="s">
        <v>111</v>
      </c>
      <c r="K5" s="829"/>
      <c r="L5" s="829"/>
      <c r="M5" s="829"/>
      <c r="P5" s="829" t="s">
        <v>112</v>
      </c>
      <c r="Q5" s="829"/>
      <c r="R5" s="829"/>
      <c r="S5" s="829"/>
    </row>
    <row r="6" spans="2:19">
      <c r="B6" s="44"/>
      <c r="C6" s="830" t="s">
        <v>96</v>
      </c>
      <c r="D6" s="831"/>
      <c r="E6" s="54"/>
      <c r="F6" s="44"/>
      <c r="G6" s="830" t="s">
        <v>96</v>
      </c>
      <c r="H6" s="831"/>
      <c r="J6" s="52"/>
      <c r="K6" s="52"/>
      <c r="L6" s="52"/>
      <c r="M6" s="52"/>
      <c r="P6" s="52"/>
      <c r="Q6" s="52"/>
      <c r="R6" s="52"/>
      <c r="S6" s="52"/>
    </row>
    <row r="7" spans="2:19" ht="30">
      <c r="B7" s="45" t="s">
        <v>97</v>
      </c>
      <c r="C7" s="44" t="s">
        <v>135</v>
      </c>
      <c r="D7" s="44" t="s">
        <v>218</v>
      </c>
      <c r="E7" s="54"/>
      <c r="F7" s="45" t="s">
        <v>97</v>
      </c>
      <c r="G7" s="44" t="s">
        <v>135</v>
      </c>
      <c r="H7" s="44" t="s">
        <v>218</v>
      </c>
      <c r="J7" s="52"/>
      <c r="K7" s="52" t="s">
        <v>8</v>
      </c>
      <c r="L7" s="52" t="s">
        <v>113</v>
      </c>
      <c r="M7" s="52" t="s">
        <v>114</v>
      </c>
      <c r="P7" s="52"/>
      <c r="Q7" s="52" t="s">
        <v>8</v>
      </c>
      <c r="R7" s="52" t="s">
        <v>113</v>
      </c>
      <c r="S7" s="52" t="s">
        <v>114</v>
      </c>
    </row>
    <row r="8" spans="2:19">
      <c r="B8" s="44" t="s">
        <v>98</v>
      </c>
      <c r="C8" s="44">
        <f>1125+10488+1077+2+3034+1+4+1142+2995+10</f>
        <v>19878</v>
      </c>
      <c r="D8" s="44"/>
      <c r="E8" s="54"/>
      <c r="F8" s="44" t="s">
        <v>98</v>
      </c>
      <c r="G8" s="44"/>
      <c r="H8" s="44"/>
      <c r="J8" s="52" t="s">
        <v>98</v>
      </c>
      <c r="K8" s="53">
        <v>4.66</v>
      </c>
      <c r="L8" s="53">
        <v>1.18</v>
      </c>
      <c r="M8" s="53">
        <f t="shared" ref="M8:M17" si="0">K8*L8</f>
        <v>5.4988000000000001</v>
      </c>
      <c r="P8" s="52" t="s">
        <v>98</v>
      </c>
      <c r="Q8" s="53">
        <v>4.2450000000000001</v>
      </c>
      <c r="R8" s="53">
        <v>1.18</v>
      </c>
      <c r="S8" s="53">
        <f t="shared" ref="S8:S17" si="1">Q8*R8</f>
        <v>5.0091000000000001</v>
      </c>
    </row>
    <row r="9" spans="2:19">
      <c r="B9" s="44"/>
      <c r="C9" s="44"/>
      <c r="D9" s="44"/>
      <c r="E9" s="54"/>
      <c r="F9" s="44"/>
      <c r="G9" s="44"/>
      <c r="H9" s="44"/>
      <c r="J9" s="52" t="s">
        <v>99</v>
      </c>
      <c r="K9" s="53">
        <v>4.49</v>
      </c>
      <c r="L9" s="53">
        <v>1.18</v>
      </c>
      <c r="M9" s="53">
        <f t="shared" si="0"/>
        <v>5.2981999999999996</v>
      </c>
      <c r="P9" s="52" t="s">
        <v>99</v>
      </c>
      <c r="Q9" s="53">
        <v>4.0720000000000001</v>
      </c>
      <c r="R9" s="53">
        <v>1.18</v>
      </c>
      <c r="S9" s="53">
        <f t="shared" si="1"/>
        <v>4.8049599999999995</v>
      </c>
    </row>
    <row r="10" spans="2:19">
      <c r="B10" s="44" t="s">
        <v>99</v>
      </c>
      <c r="C10" s="44">
        <f>1531+4129+25215+2090+1062+3904+2695+1+4+1941+2709+1+2+1+10640+19+1000+195+777+1210</f>
        <v>59126</v>
      </c>
      <c r="D10" s="44"/>
      <c r="E10" s="54"/>
      <c r="F10" s="44" t="s">
        <v>99</v>
      </c>
      <c r="G10" s="44"/>
      <c r="H10" s="44"/>
      <c r="J10" s="52" t="s">
        <v>100</v>
      </c>
      <c r="K10" s="53">
        <v>4.6399999999999997</v>
      </c>
      <c r="L10" s="53">
        <v>1.18</v>
      </c>
      <c r="M10" s="53">
        <f t="shared" si="0"/>
        <v>5.4751999999999992</v>
      </c>
      <c r="P10" s="52" t="s">
        <v>100</v>
      </c>
      <c r="Q10" s="53">
        <v>4.2229999999999999</v>
      </c>
      <c r="R10" s="53">
        <v>1.18</v>
      </c>
      <c r="S10" s="53">
        <f t="shared" si="1"/>
        <v>4.9831399999999997</v>
      </c>
    </row>
    <row r="11" spans="2:19">
      <c r="B11" s="44"/>
      <c r="C11" s="44"/>
      <c r="D11" s="44"/>
      <c r="E11" s="54"/>
      <c r="F11" s="44"/>
      <c r="G11" s="44"/>
      <c r="H11" s="44"/>
      <c r="J11" s="52" t="s">
        <v>101</v>
      </c>
      <c r="K11" s="53">
        <v>4.71</v>
      </c>
      <c r="L11" s="53">
        <v>1.18</v>
      </c>
      <c r="M11" s="53">
        <f t="shared" si="0"/>
        <v>5.5577999999999994</v>
      </c>
      <c r="P11" s="52" t="s">
        <v>101</v>
      </c>
      <c r="Q11" s="53">
        <v>4.2919999999999998</v>
      </c>
      <c r="R11" s="53">
        <v>1.18</v>
      </c>
      <c r="S11" s="53">
        <f t="shared" si="1"/>
        <v>5.0645599999999993</v>
      </c>
    </row>
    <row r="12" spans="2:19">
      <c r="B12" s="44" t="s">
        <v>100</v>
      </c>
      <c r="C12" s="44">
        <f>8153+1292+1041+1918+1361+1+3+1143+2234+1+8+1+1+4908+9+8889+16+2787+732+162+854+854</f>
        <v>36368</v>
      </c>
      <c r="D12" s="44"/>
      <c r="E12" s="54"/>
      <c r="F12" s="44" t="s">
        <v>100</v>
      </c>
      <c r="G12" s="44"/>
      <c r="H12" s="44"/>
      <c r="J12" s="52" t="s">
        <v>102</v>
      </c>
      <c r="K12" s="53">
        <v>4.7699999999999996</v>
      </c>
      <c r="L12" s="53">
        <v>1.18</v>
      </c>
      <c r="M12" s="53">
        <f t="shared" si="0"/>
        <v>5.6285999999999996</v>
      </c>
      <c r="P12" s="52" t="s">
        <v>102</v>
      </c>
      <c r="Q12" s="53">
        <v>4.3520000000000003</v>
      </c>
      <c r="R12" s="53">
        <v>1.18</v>
      </c>
      <c r="S12" s="53">
        <f t="shared" si="1"/>
        <v>5.1353600000000004</v>
      </c>
    </row>
    <row r="13" spans="2:19">
      <c r="B13" s="44"/>
      <c r="C13" s="44"/>
      <c r="D13" s="44"/>
      <c r="E13" s="54"/>
      <c r="F13" s="44"/>
      <c r="G13" s="44"/>
      <c r="H13" s="44"/>
      <c r="J13" s="52" t="s">
        <v>103</v>
      </c>
      <c r="K13" s="53">
        <v>4.78</v>
      </c>
      <c r="L13" s="53">
        <v>1.18</v>
      </c>
      <c r="M13" s="53">
        <f t="shared" si="0"/>
        <v>5.6403999999999996</v>
      </c>
      <c r="P13" s="52" t="s">
        <v>103</v>
      </c>
      <c r="Q13" s="53">
        <v>4.3630000000000004</v>
      </c>
      <c r="R13" s="53">
        <v>1.18</v>
      </c>
      <c r="S13" s="53">
        <f t="shared" si="1"/>
        <v>5.1483400000000001</v>
      </c>
    </row>
    <row r="14" spans="2:19">
      <c r="B14" s="44" t="s">
        <v>101</v>
      </c>
      <c r="C14" s="44">
        <f>4313+100+925+125+834+3+3826+1+343+2143+4+2+1+4901+9+2907+5+800+500+28+894+1910</f>
        <v>24574</v>
      </c>
      <c r="D14" s="44"/>
      <c r="E14" s="54"/>
      <c r="F14" s="44" t="s">
        <v>101</v>
      </c>
      <c r="G14" s="44"/>
      <c r="H14" s="44"/>
      <c r="J14" s="52" t="s">
        <v>104</v>
      </c>
      <c r="K14" s="53">
        <v>4.72</v>
      </c>
      <c r="L14" s="53">
        <v>1.18</v>
      </c>
      <c r="M14" s="53">
        <f t="shared" si="0"/>
        <v>5.5695999999999994</v>
      </c>
      <c r="P14" s="52" t="s">
        <v>104</v>
      </c>
      <c r="Q14" s="53">
        <v>4.2919999999999998</v>
      </c>
      <c r="R14" s="53">
        <v>1.18</v>
      </c>
      <c r="S14" s="53">
        <f t="shared" si="1"/>
        <v>5.0645599999999993</v>
      </c>
    </row>
    <row r="15" spans="2:19">
      <c r="B15" s="44"/>
      <c r="C15" s="44"/>
      <c r="D15" s="44"/>
      <c r="E15" s="54"/>
      <c r="F15" s="44"/>
      <c r="G15" s="44"/>
      <c r="H15" s="44"/>
      <c r="J15" s="52" t="s">
        <v>105</v>
      </c>
      <c r="K15" s="53">
        <v>4.66</v>
      </c>
      <c r="L15" s="53">
        <v>1.18</v>
      </c>
      <c r="M15" s="53">
        <f t="shared" si="0"/>
        <v>5.4988000000000001</v>
      </c>
      <c r="P15" s="52" t="s">
        <v>105</v>
      </c>
      <c r="Q15" s="53">
        <v>4.2309999999999999</v>
      </c>
      <c r="R15" s="53">
        <v>1.18</v>
      </c>
      <c r="S15" s="53">
        <f t="shared" si="1"/>
        <v>4.9925799999999994</v>
      </c>
    </row>
    <row r="16" spans="2:19" ht="15.75" customHeight="1">
      <c r="B16" s="44" t="s">
        <v>102</v>
      </c>
      <c r="C16" s="44">
        <f>3032+1793+3331+1207+28+125+2916+1507+4+514+3336+6+13+2+4+5933+11+3318+6+1850+1035+1003+1033</f>
        <v>32007</v>
      </c>
      <c r="D16" s="44"/>
      <c r="E16" s="54"/>
      <c r="F16" s="44" t="s">
        <v>102</v>
      </c>
      <c r="G16" s="44"/>
      <c r="H16" s="44"/>
      <c r="J16" s="52" t="s">
        <v>106</v>
      </c>
      <c r="K16" s="53">
        <v>4.53</v>
      </c>
      <c r="L16" s="53">
        <v>1.18</v>
      </c>
      <c r="M16" s="53">
        <f t="shared" si="0"/>
        <v>5.3453999999999997</v>
      </c>
      <c r="P16" s="52" t="s">
        <v>106</v>
      </c>
      <c r="Q16" s="53">
        <v>4.1029999999999998</v>
      </c>
      <c r="R16" s="53">
        <v>1.18</v>
      </c>
      <c r="S16" s="53">
        <f t="shared" si="1"/>
        <v>4.8415399999999993</v>
      </c>
    </row>
    <row r="17" spans="2:19">
      <c r="B17" s="44"/>
      <c r="C17" s="44"/>
      <c r="D17" s="44"/>
      <c r="E17" s="54"/>
      <c r="F17" s="44"/>
      <c r="G17" s="44"/>
      <c r="H17" s="44"/>
      <c r="J17" s="52" t="s">
        <v>107</v>
      </c>
      <c r="K17" s="53">
        <v>4.53</v>
      </c>
      <c r="L17" s="53">
        <v>1.18</v>
      </c>
      <c r="M17" s="53">
        <f t="shared" si="0"/>
        <v>5.3453999999999997</v>
      </c>
      <c r="P17" s="52" t="s">
        <v>107</v>
      </c>
      <c r="Q17" s="53">
        <v>4.1059999999999999</v>
      </c>
      <c r="R17" s="53">
        <v>1.18</v>
      </c>
      <c r="S17" s="53">
        <f t="shared" si="1"/>
        <v>4.8450799999999994</v>
      </c>
    </row>
    <row r="18" spans="2:19">
      <c r="B18" s="44" t="s">
        <v>103</v>
      </c>
      <c r="C18" s="44">
        <f>809+952+875+2437+2015+1550+2+423+313+1291+5+1+1+3+4343+8+3290+6+1607+655+549+846+1046</f>
        <v>23027</v>
      </c>
      <c r="D18" s="44"/>
      <c r="E18" s="54"/>
      <c r="F18" s="44" t="s">
        <v>103</v>
      </c>
      <c r="G18" s="44"/>
      <c r="H18" s="44"/>
      <c r="J18" s="52"/>
      <c r="K18" s="53"/>
      <c r="L18" s="53"/>
      <c r="M18" s="53"/>
      <c r="P18" s="52"/>
      <c r="Q18" s="53"/>
      <c r="R18" s="53"/>
      <c r="S18" s="53"/>
    </row>
    <row r="19" spans="2:19">
      <c r="B19" s="44"/>
      <c r="C19" s="44"/>
      <c r="D19" s="44"/>
      <c r="E19" s="54"/>
      <c r="F19" s="44"/>
      <c r="G19" s="44"/>
      <c r="H19" s="44"/>
      <c r="J19" s="52"/>
      <c r="K19" s="53"/>
      <c r="L19" s="53"/>
      <c r="M19" s="53"/>
      <c r="P19" s="52"/>
      <c r="Q19" s="53"/>
      <c r="R19" s="53"/>
      <c r="S19" s="53"/>
    </row>
    <row r="20" spans="2:19">
      <c r="B20" s="44" t="s">
        <v>104</v>
      </c>
      <c r="C20" s="44">
        <f>4508+704+1359+1176+1050+1596+1350+1+653+206+413+876+1+3+2+3805+7+2478+4+888+310+304+865+1171+328+3</f>
        <v>24061</v>
      </c>
      <c r="D20" s="44"/>
      <c r="E20" s="54"/>
      <c r="F20" s="44" t="s">
        <v>104</v>
      </c>
      <c r="G20" s="44"/>
      <c r="H20" s="44"/>
      <c r="J20" s="52"/>
      <c r="K20" s="53"/>
      <c r="L20" s="53"/>
      <c r="M20" s="53"/>
      <c r="P20" s="52"/>
      <c r="Q20" s="53"/>
      <c r="R20" s="53"/>
      <c r="S20" s="53"/>
    </row>
    <row r="21" spans="2:19">
      <c r="B21" s="44"/>
      <c r="C21" s="44"/>
      <c r="D21" s="44"/>
      <c r="E21" s="54"/>
      <c r="F21" s="44"/>
      <c r="G21" s="44"/>
      <c r="H21" s="44"/>
      <c r="J21" s="52"/>
      <c r="K21" s="53" t="s">
        <v>115</v>
      </c>
      <c r="L21" s="53"/>
      <c r="M21" s="53" t="s">
        <v>116</v>
      </c>
      <c r="P21" s="52"/>
      <c r="Q21" s="53" t="s">
        <v>115</v>
      </c>
      <c r="R21" s="53"/>
      <c r="S21" s="53" t="s">
        <v>116</v>
      </c>
    </row>
    <row r="22" spans="2:19">
      <c r="B22" s="44" t="s">
        <v>105</v>
      </c>
      <c r="C22" s="44">
        <f>2967+800+1712+1250+1660+2064+1+873+1+2+528+207+850+1366+2+4+3+4855+9+4335+8+1481+300+322+990+1260+754+7</f>
        <v>28611</v>
      </c>
      <c r="D22" s="44"/>
      <c r="E22" s="54"/>
      <c r="F22" s="44" t="s">
        <v>105</v>
      </c>
      <c r="G22" s="44"/>
      <c r="H22" s="44"/>
      <c r="J22" s="52" t="s">
        <v>117</v>
      </c>
      <c r="K22" s="53">
        <f>SUM(K8:K21)/10</f>
        <v>4.6490000000000009</v>
      </c>
      <c r="L22" s="53"/>
      <c r="M22" s="252">
        <f>K22*1.18</f>
        <v>5.4858200000000004</v>
      </c>
      <c r="P22" s="52" t="s">
        <v>117</v>
      </c>
      <c r="Q22" s="53">
        <f>SUM(Q8:Q21)/10</f>
        <v>4.2279</v>
      </c>
      <c r="R22" s="53"/>
      <c r="S22" s="252">
        <f>Q22*1.18</f>
        <v>4.9889219999999996</v>
      </c>
    </row>
    <row r="23" spans="2:19">
      <c r="B23" s="44"/>
      <c r="C23" s="44"/>
      <c r="D23" s="44"/>
      <c r="E23" s="54"/>
      <c r="F23" s="44"/>
      <c r="G23" s="44"/>
      <c r="H23" s="44"/>
    </row>
    <row r="24" spans="2:19">
      <c r="B24" s="44" t="s">
        <v>106</v>
      </c>
      <c r="C24" s="44">
        <f>2206+594+1260+1081+1559+2422+741+1+288+126+410+495+6+2+3+2+9+5590+10+3450+6+1861+1250+39+1123+1687+1</f>
        <v>26222</v>
      </c>
      <c r="D24" s="44"/>
      <c r="E24" s="54"/>
      <c r="F24" s="44" t="s">
        <v>106</v>
      </c>
      <c r="G24" s="44"/>
      <c r="H24" s="44"/>
      <c r="K24" s="54"/>
    </row>
    <row r="25" spans="2:19">
      <c r="B25" s="44"/>
      <c r="C25" s="44"/>
      <c r="D25" s="44"/>
      <c r="E25" s="54"/>
      <c r="F25" s="44"/>
      <c r="G25" s="44"/>
      <c r="H25" s="44"/>
      <c r="K25" s="54"/>
    </row>
    <row r="26" spans="2:19">
      <c r="B26" s="44" t="s">
        <v>107</v>
      </c>
      <c r="C26" s="44">
        <f>2206+594+1260+1081+1559+2422+741+1+288+126+410+495+6+1+2+3+55+114+5590+10+3450+6+1861+1250+7+1123+1687</f>
        <v>26348</v>
      </c>
      <c r="D26" s="44"/>
      <c r="E26" s="54"/>
      <c r="F26" s="44" t="s">
        <v>107</v>
      </c>
      <c r="G26" s="44"/>
      <c r="H26" s="44"/>
      <c r="K26" s="54"/>
    </row>
    <row r="27" spans="2:19">
      <c r="B27" s="44"/>
      <c r="C27" s="44"/>
      <c r="D27" s="44"/>
      <c r="E27" s="54"/>
      <c r="F27" s="44"/>
      <c r="G27" s="44"/>
      <c r="H27" s="44"/>
      <c r="K27" s="54"/>
    </row>
    <row r="28" spans="2:19">
      <c r="B28" s="44" t="s">
        <v>108</v>
      </c>
      <c r="C28" s="44">
        <f>1336+486+2232+1021+1185+1500+3361+1+121+27+1072+4+5+1+2+57+2987+5+2016+4+521+32+814+4032+29</f>
        <v>22851</v>
      </c>
      <c r="D28" s="44"/>
      <c r="E28" s="54"/>
      <c r="F28" s="44" t="s">
        <v>108</v>
      </c>
      <c r="G28" s="44"/>
      <c r="H28" s="44"/>
      <c r="K28" s="54"/>
    </row>
    <row r="29" spans="2:19">
      <c r="B29" s="44"/>
      <c r="C29" s="44"/>
      <c r="D29" s="44"/>
      <c r="E29" s="54"/>
      <c r="F29" s="44"/>
      <c r="G29" s="44"/>
      <c r="H29" s="44"/>
      <c r="K29" s="54"/>
    </row>
    <row r="30" spans="2:19">
      <c r="B30" s="44" t="s">
        <v>109</v>
      </c>
      <c r="C30" s="44">
        <f>1803+485+1698+994+1334+1723+3814+39+81+450+6+2+2+60+113+4997+9+2394+4+1569+9+1025</f>
        <v>22611</v>
      </c>
      <c r="D30" s="44"/>
      <c r="E30" s="54"/>
      <c r="F30" s="44" t="s">
        <v>109</v>
      </c>
      <c r="G30" s="44"/>
      <c r="H30" s="44"/>
      <c r="K30" s="54"/>
    </row>
    <row r="31" spans="2:19">
      <c r="B31" s="44"/>
      <c r="C31" s="44"/>
      <c r="D31" s="44"/>
      <c r="E31" s="54"/>
      <c r="F31" s="44"/>
      <c r="G31" s="44"/>
      <c r="H31" s="44"/>
      <c r="K31" s="54"/>
    </row>
    <row r="32" spans="2:19">
      <c r="B32" s="44"/>
      <c r="C32" s="44"/>
      <c r="D32" s="44"/>
      <c r="E32" s="54"/>
      <c r="F32" s="44"/>
      <c r="G32" s="44"/>
      <c r="H32" s="44"/>
      <c r="K32" s="54"/>
    </row>
    <row r="33" spans="2:11">
      <c r="B33" s="46" t="s">
        <v>110</v>
      </c>
      <c r="C33" s="47">
        <f>(C8+C10+C12+C14+C16+C18+C20+C22+C24+C26+C28+C30)/1000</f>
        <v>345.68400000000003</v>
      </c>
      <c r="D33" s="47"/>
      <c r="E33" s="54"/>
      <c r="F33" s="46" t="s">
        <v>110</v>
      </c>
      <c r="G33" s="47"/>
      <c r="H33" s="47"/>
      <c r="K33" s="56"/>
    </row>
    <row r="34" spans="2:11">
      <c r="B34" s="46"/>
      <c r="C34" s="48"/>
      <c r="D34" s="48"/>
      <c r="E34" s="54"/>
      <c r="F34" s="46"/>
      <c r="G34" s="48"/>
      <c r="H34" s="48"/>
      <c r="K34" s="54"/>
    </row>
    <row r="35" spans="2:11">
      <c r="B35" s="54"/>
      <c r="C35" s="54"/>
      <c r="D35" s="54"/>
      <c r="E35" s="54"/>
      <c r="F35" s="54"/>
      <c r="G35" s="54"/>
      <c r="H35" s="54"/>
    </row>
    <row r="36" spans="2:11">
      <c r="B36" s="54"/>
      <c r="C36" s="55"/>
      <c r="D36" s="55"/>
      <c r="E36" s="55"/>
      <c r="F36" s="49"/>
    </row>
    <row r="37" spans="2:11">
      <c r="B37" s="56"/>
      <c r="C37" s="56"/>
      <c r="D37" s="56"/>
      <c r="E37" s="56"/>
      <c r="F37" s="50"/>
      <c r="I37" s="50"/>
      <c r="J37" s="50"/>
    </row>
    <row r="38" spans="2:11" ht="21">
      <c r="B38" s="56"/>
      <c r="C38" s="57"/>
      <c r="D38" s="56"/>
      <c r="E38" s="56"/>
      <c r="F38" s="51"/>
    </row>
    <row r="39" spans="2:11">
      <c r="B39" s="56"/>
      <c r="C39" s="56"/>
      <c r="D39" s="56"/>
      <c r="E39" s="56"/>
      <c r="F39" s="50"/>
    </row>
  </sheetData>
  <mergeCells count="5">
    <mergeCell ref="F1:M1"/>
    <mergeCell ref="J5:M5"/>
    <mergeCell ref="P5:S5"/>
    <mergeCell ref="C6:D6"/>
    <mergeCell ref="G6:H6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32"/>
  <sheetViews>
    <sheetView topLeftCell="C16" workbookViewId="0">
      <selection activeCell="D28" sqref="D28:I32"/>
    </sheetView>
  </sheetViews>
  <sheetFormatPr defaultRowHeight="15"/>
  <cols>
    <col min="1" max="3" width="9.140625" style="52"/>
    <col min="4" max="4" width="24.28515625" style="52" customWidth="1"/>
    <col min="5" max="5" width="16" style="52" customWidth="1"/>
    <col min="6" max="6" width="22.42578125" style="52" customWidth="1"/>
    <col min="7" max="7" width="24" style="52" customWidth="1"/>
    <col min="8" max="8" width="17.5703125" style="52" customWidth="1"/>
    <col min="9" max="9" width="23.7109375" style="52" customWidth="1"/>
    <col min="10" max="16384" width="9.140625" style="52"/>
  </cols>
  <sheetData>
    <row r="5" spans="4:9" ht="26.25">
      <c r="E5" s="832" t="s">
        <v>215</v>
      </c>
      <c r="F5" s="832"/>
      <c r="G5" s="832"/>
      <c r="H5" s="832"/>
    </row>
    <row r="6" spans="4:9" ht="26.25">
      <c r="E6" s="482"/>
      <c r="F6" s="482"/>
      <c r="G6" s="482"/>
      <c r="H6" s="482"/>
    </row>
    <row r="7" spans="4:9" ht="26.25">
      <c r="E7" s="482"/>
      <c r="F7" s="832" t="s">
        <v>228</v>
      </c>
      <c r="G7" s="832"/>
      <c r="H7" s="482"/>
    </row>
    <row r="9" spans="4:9" ht="31.5">
      <c r="D9" s="58" t="s">
        <v>118</v>
      </c>
      <c r="E9" s="58" t="s">
        <v>119</v>
      </c>
      <c r="F9" s="58" t="s">
        <v>122</v>
      </c>
      <c r="G9" s="58" t="s">
        <v>120</v>
      </c>
      <c r="H9" s="58" t="s">
        <v>227</v>
      </c>
      <c r="I9" s="58" t="s">
        <v>121</v>
      </c>
    </row>
    <row r="10" spans="4:9" ht="15.75">
      <c r="D10" s="249" t="s">
        <v>224</v>
      </c>
      <c r="E10" s="60"/>
      <c r="F10" s="59">
        <v>55.76</v>
      </c>
      <c r="G10" s="59">
        <v>0.94511999999999996</v>
      </c>
      <c r="H10" s="493">
        <f t="shared" ref="H10:H15" si="0">G10/F10</f>
        <v>1.6949784791965565E-2</v>
      </c>
      <c r="I10" s="59">
        <v>33.147559999999999</v>
      </c>
    </row>
    <row r="11" spans="4:9" ht="15.75">
      <c r="D11" s="249" t="s">
        <v>225</v>
      </c>
      <c r="E11" s="60"/>
      <c r="F11" s="59">
        <v>321.44</v>
      </c>
      <c r="G11" s="59">
        <v>5.4481200000000003</v>
      </c>
      <c r="H11" s="493">
        <f t="shared" si="0"/>
        <v>1.6949104031856645E-2</v>
      </c>
      <c r="I11" s="59">
        <v>120.77637</v>
      </c>
    </row>
    <row r="12" spans="4:9" ht="15.75">
      <c r="D12" s="249" t="s">
        <v>225</v>
      </c>
      <c r="E12" s="60"/>
      <c r="F12" s="59">
        <v>74.783000000000001</v>
      </c>
      <c r="G12" s="59">
        <v>1.26756</v>
      </c>
      <c r="H12" s="493">
        <f t="shared" si="0"/>
        <v>1.6949841541526817E-2</v>
      </c>
      <c r="I12" s="59">
        <v>15.385020000000001</v>
      </c>
    </row>
    <row r="13" spans="4:9" ht="15.75">
      <c r="D13" s="249" t="s">
        <v>225</v>
      </c>
      <c r="E13" s="60"/>
      <c r="F13" s="59">
        <v>67.852000000000004</v>
      </c>
      <c r="G13" s="59">
        <v>1.1499999999999999</v>
      </c>
      <c r="H13" s="493">
        <f t="shared" si="0"/>
        <v>1.6948652950539406E-2</v>
      </c>
      <c r="I13" s="59">
        <v>12.807399999999999</v>
      </c>
    </row>
    <row r="14" spans="4:9" ht="15.75">
      <c r="D14" s="249" t="s">
        <v>225</v>
      </c>
      <c r="E14" s="60"/>
      <c r="F14" s="59">
        <v>2563.37023</v>
      </c>
      <c r="G14" s="59">
        <v>43.446959999999997</v>
      </c>
      <c r="H14" s="493">
        <f t="shared" si="0"/>
        <v>1.6949155253316646E-2</v>
      </c>
      <c r="I14" s="59">
        <v>2306.3090000000002</v>
      </c>
    </row>
    <row r="15" spans="4:9" ht="15.75">
      <c r="D15" s="249" t="s">
        <v>226</v>
      </c>
      <c r="E15" s="60"/>
      <c r="F15" s="59">
        <v>153.97351</v>
      </c>
      <c r="G15" s="59">
        <v>8.5540000000000003</v>
      </c>
      <c r="H15" s="493">
        <f t="shared" si="0"/>
        <v>5.5555010728793541E-2</v>
      </c>
      <c r="I15" s="59">
        <v>55.072949999999999</v>
      </c>
    </row>
    <row r="17" spans="4:9" ht="18">
      <c r="D17" s="250" t="s">
        <v>117</v>
      </c>
      <c r="E17" s="250"/>
      <c r="F17" s="250"/>
      <c r="G17" s="251">
        <f>SUM(G10:G15)</f>
        <v>60.81176</v>
      </c>
    </row>
    <row r="20" spans="4:9" ht="26.25">
      <c r="E20" s="482"/>
      <c r="F20" s="832" t="s">
        <v>229</v>
      </c>
      <c r="G20" s="832"/>
      <c r="H20" s="482"/>
    </row>
    <row r="22" spans="4:9" ht="31.5">
      <c r="D22" s="58" t="s">
        <v>118</v>
      </c>
      <c r="E22" s="58" t="s">
        <v>119</v>
      </c>
      <c r="F22" s="58" t="s">
        <v>122</v>
      </c>
      <c r="G22" s="58" t="s">
        <v>120</v>
      </c>
      <c r="H22" s="58" t="s">
        <v>227</v>
      </c>
      <c r="I22" s="58" t="s">
        <v>121</v>
      </c>
    </row>
    <row r="23" spans="4:9" ht="15.75">
      <c r="D23" s="249" t="s">
        <v>230</v>
      </c>
      <c r="E23" s="60"/>
      <c r="F23" s="59">
        <v>312.97800000000001</v>
      </c>
      <c r="G23" s="59">
        <f>F23*H23</f>
        <v>5.3206260000000007</v>
      </c>
      <c r="H23" s="493">
        <v>1.7000000000000001E-2</v>
      </c>
      <c r="I23" s="59">
        <v>104.273</v>
      </c>
    </row>
    <row r="25" spans="4:9" ht="18">
      <c r="D25" s="250" t="s">
        <v>117</v>
      </c>
      <c r="E25" s="250"/>
      <c r="F25" s="250"/>
      <c r="G25" s="251">
        <f>SUM(G23:G23)</f>
        <v>5.3206260000000007</v>
      </c>
    </row>
    <row r="28" spans="4:9" ht="20.25" customHeight="1">
      <c r="D28" s="274"/>
      <c r="E28" s="274"/>
      <c r="F28" s="274"/>
      <c r="G28" s="274"/>
      <c r="H28" s="274"/>
      <c r="I28" s="274"/>
    </row>
    <row r="29" spans="4:9">
      <c r="D29" s="274"/>
      <c r="E29" s="274"/>
      <c r="F29" s="274"/>
      <c r="G29" s="274"/>
      <c r="H29" s="274"/>
      <c r="I29" s="274"/>
    </row>
    <row r="30" spans="4:9" ht="15.75" customHeight="1">
      <c r="D30" s="274"/>
      <c r="E30" s="274"/>
      <c r="F30" s="274"/>
      <c r="G30" s="274"/>
      <c r="H30" s="274"/>
      <c r="I30" s="274"/>
    </row>
    <row r="31" spans="4:9" ht="15.75" customHeight="1">
      <c r="D31" s="274"/>
      <c r="E31" s="274"/>
      <c r="F31" s="274"/>
      <c r="G31" s="274"/>
      <c r="H31" s="274"/>
      <c r="I31" s="274"/>
    </row>
    <row r="32" spans="4:9">
      <c r="D32" s="274"/>
      <c r="E32" s="274"/>
      <c r="F32" s="274"/>
      <c r="G32" s="274"/>
      <c r="H32" s="274"/>
      <c r="I32" s="274"/>
    </row>
  </sheetData>
  <mergeCells count="3">
    <mergeCell ref="E5:H5"/>
    <mergeCell ref="F7:G7"/>
    <mergeCell ref="F20:G20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5"/>
  <sheetViews>
    <sheetView workbookViewId="0">
      <selection activeCell="G17" sqref="G17"/>
    </sheetView>
  </sheetViews>
  <sheetFormatPr defaultRowHeight="15"/>
  <cols>
    <col min="1" max="2" width="9.140625" style="52"/>
    <col min="3" max="3" width="17" style="52" customWidth="1"/>
    <col min="4" max="4" width="12.42578125" style="52" customWidth="1"/>
    <col min="5" max="6" width="9.140625" style="52"/>
    <col min="7" max="7" width="20.5703125" style="52" customWidth="1"/>
    <col min="8" max="8" width="16.7109375" style="52" customWidth="1"/>
    <col min="9" max="9" width="19.7109375" style="52" customWidth="1"/>
    <col min="10" max="16384" width="9.140625" style="52"/>
  </cols>
  <sheetData>
    <row r="3" spans="3:10">
      <c r="C3" s="833" t="s">
        <v>263</v>
      </c>
      <c r="D3" s="833"/>
      <c r="E3" s="833"/>
      <c r="F3" s="833"/>
      <c r="G3" s="221"/>
      <c r="H3" s="221"/>
      <c r="I3" s="221"/>
    </row>
    <row r="4" spans="3:10">
      <c r="C4" s="221"/>
      <c r="D4" s="221"/>
      <c r="E4" s="221"/>
      <c r="F4" s="221"/>
      <c r="G4" s="221"/>
      <c r="H4" s="221"/>
      <c r="I4" s="221"/>
    </row>
    <row r="5" spans="3:10" ht="31.5" customHeight="1">
      <c r="C5" s="221" t="s">
        <v>210</v>
      </c>
      <c r="D5" s="221" t="s">
        <v>211</v>
      </c>
      <c r="E5" s="221" t="s">
        <v>212</v>
      </c>
      <c r="F5" s="221" t="s">
        <v>266</v>
      </c>
      <c r="G5" s="221"/>
      <c r="H5" s="221"/>
      <c r="I5" s="221"/>
    </row>
    <row r="6" spans="3:10">
      <c r="C6" s="221" t="s">
        <v>264</v>
      </c>
      <c r="D6" s="221">
        <v>25</v>
      </c>
      <c r="E6" s="221">
        <v>84</v>
      </c>
      <c r="F6" s="426">
        <f>D6*E6/1000</f>
        <v>2.1</v>
      </c>
      <c r="G6" s="221"/>
      <c r="H6" s="221"/>
      <c r="I6" s="221"/>
    </row>
    <row r="7" spans="3:10">
      <c r="C7" s="221" t="s">
        <v>265</v>
      </c>
      <c r="D7" s="221">
        <v>25</v>
      </c>
      <c r="E7" s="221">
        <v>74</v>
      </c>
      <c r="F7" s="221">
        <f>D7*E7/1000</f>
        <v>1.85</v>
      </c>
      <c r="G7" s="221"/>
      <c r="H7" s="221"/>
      <c r="I7" s="221"/>
      <c r="J7" s="274"/>
    </row>
    <row r="8" spans="3:10">
      <c r="C8" s="221"/>
      <c r="D8" s="221"/>
      <c r="E8" s="221"/>
      <c r="F8" s="221"/>
      <c r="G8" s="470">
        <f>F9*ФОТ!F73</f>
        <v>0</v>
      </c>
      <c r="H8" s="471" t="s">
        <v>213</v>
      </c>
      <c r="I8" s="221"/>
      <c r="J8" s="274"/>
    </row>
    <row r="9" spans="3:10">
      <c r="C9" s="472" t="s">
        <v>117</v>
      </c>
      <c r="D9" s="472"/>
      <c r="E9" s="472"/>
      <c r="F9" s="472">
        <f>SUM(F6:F8)</f>
        <v>3.95</v>
      </c>
      <c r="G9" s="473">
        <f>F9*ФОТ!G73</f>
        <v>0</v>
      </c>
      <c r="H9" s="474" t="s">
        <v>214</v>
      </c>
      <c r="I9" s="221"/>
      <c r="J9" s="274"/>
    </row>
    <row r="10" spans="3:10">
      <c r="C10" s="221"/>
      <c r="D10" s="221"/>
      <c r="E10" s="221"/>
      <c r="F10" s="221"/>
      <c r="G10" s="221"/>
      <c r="H10" s="221"/>
      <c r="I10" s="221"/>
      <c r="J10" s="274"/>
    </row>
    <row r="11" spans="3:10">
      <c r="G11" s="274"/>
      <c r="H11" s="274"/>
      <c r="I11" s="275"/>
      <c r="J11" s="274"/>
    </row>
    <row r="12" spans="3:10" ht="18">
      <c r="F12" s="53"/>
      <c r="G12" s="276"/>
      <c r="H12" s="276"/>
      <c r="I12" s="277"/>
      <c r="J12" s="274"/>
    </row>
    <row r="13" spans="3:10">
      <c r="G13" s="274"/>
      <c r="H13" s="274"/>
      <c r="I13" s="274"/>
      <c r="J13" s="274"/>
    </row>
    <row r="14" spans="3:10">
      <c r="G14" s="274"/>
      <c r="H14" s="274"/>
      <c r="I14" s="274"/>
      <c r="J14" s="274"/>
    </row>
    <row r="15" spans="3:10">
      <c r="C15" s="422"/>
      <c r="F15" s="423"/>
      <c r="G15" s="274"/>
      <c r="H15" s="274"/>
      <c r="I15" s="274"/>
      <c r="J15" s="274"/>
    </row>
  </sheetData>
  <mergeCells count="1">
    <mergeCell ref="C3:F3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opLeftCell="A47" zoomScale="75" zoomScaleNormal="75" workbookViewId="0">
      <selection activeCell="B81" sqref="B81"/>
    </sheetView>
  </sheetViews>
  <sheetFormatPr defaultColWidth="11.42578125" defaultRowHeight="15"/>
  <cols>
    <col min="1" max="1" width="11.42578125" style="246"/>
    <col min="2" max="2" width="18.85546875" style="165" customWidth="1"/>
    <col min="3" max="3" width="12.7109375" style="221" bestFit="1" customWidth="1"/>
    <col min="4" max="5" width="11.42578125" style="221"/>
    <col min="6" max="7" width="13.28515625" style="221" bestFit="1" customWidth="1"/>
    <col min="8" max="8" width="0" style="221" hidden="1" customWidth="1"/>
    <col min="9" max="9" width="13.5703125" style="221" hidden="1" customWidth="1"/>
    <col min="10" max="11" width="11.42578125" style="221" hidden="1" customWidth="1"/>
    <col min="12" max="14" width="11.42578125" style="221" customWidth="1"/>
    <col min="15" max="17" width="11.42578125" style="221" hidden="1" customWidth="1"/>
    <col min="18" max="18" width="11.42578125" style="221" customWidth="1"/>
    <col min="19" max="19" width="11.42578125" style="221" hidden="1" customWidth="1"/>
    <col min="20" max="21" width="11.42578125" style="221"/>
    <col min="22" max="22" width="11.42578125" style="165"/>
    <col min="23" max="23" width="0" style="165" hidden="1" customWidth="1"/>
    <col min="24" max="25" width="13.28515625" style="165" bestFit="1" customWidth="1"/>
    <col min="26" max="16384" width="11.42578125" style="165"/>
  </cols>
  <sheetData>
    <row r="1" spans="1:24">
      <c r="A1" s="841" t="s">
        <v>123</v>
      </c>
      <c r="B1" s="841" t="s">
        <v>124</v>
      </c>
      <c r="C1" s="841" t="s">
        <v>125</v>
      </c>
      <c r="D1" s="841" t="s">
        <v>126</v>
      </c>
      <c r="E1" s="841" t="s">
        <v>147</v>
      </c>
      <c r="F1" s="841" t="s">
        <v>127</v>
      </c>
      <c r="G1" s="841" t="s">
        <v>189</v>
      </c>
      <c r="H1" s="841" t="s">
        <v>190</v>
      </c>
      <c r="I1" s="849" t="s">
        <v>191</v>
      </c>
      <c r="J1" s="846" t="s">
        <v>192</v>
      </c>
      <c r="K1" s="846" t="s">
        <v>193</v>
      </c>
      <c r="L1" s="847" t="s">
        <v>128</v>
      </c>
      <c r="M1" s="848"/>
      <c r="N1" s="848"/>
      <c r="O1" s="848"/>
      <c r="P1" s="363"/>
      <c r="Q1" s="364"/>
      <c r="R1" s="144"/>
      <c r="S1" s="144"/>
      <c r="T1" s="843" t="s">
        <v>129</v>
      </c>
      <c r="U1" s="841" t="s">
        <v>130</v>
      </c>
      <c r="V1" s="834" t="s">
        <v>148</v>
      </c>
    </row>
    <row r="2" spans="1:24" ht="43.5" customHeight="1">
      <c r="A2" s="842"/>
      <c r="B2" s="842"/>
      <c r="C2" s="842"/>
      <c r="D2" s="842"/>
      <c r="E2" s="842"/>
      <c r="F2" s="842"/>
      <c r="G2" s="842"/>
      <c r="H2" s="842"/>
      <c r="I2" s="849"/>
      <c r="J2" s="846"/>
      <c r="K2" s="846"/>
      <c r="L2" s="854" t="s">
        <v>312</v>
      </c>
      <c r="M2" s="855"/>
      <c r="N2" s="146">
        <v>0.6</v>
      </c>
      <c r="O2" s="146">
        <v>0.65</v>
      </c>
      <c r="P2" s="146">
        <v>1.2</v>
      </c>
      <c r="Q2" s="146">
        <v>1.4</v>
      </c>
      <c r="R2" s="146" t="s">
        <v>149</v>
      </c>
      <c r="S2" s="146" t="s">
        <v>150</v>
      </c>
      <c r="T2" s="844"/>
      <c r="U2" s="842"/>
      <c r="V2" s="835"/>
    </row>
    <row r="3" spans="1:24">
      <c r="A3" s="836" t="s">
        <v>131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8"/>
      <c r="V3" s="147"/>
    </row>
    <row r="4" spans="1:24">
      <c r="A4" s="166">
        <v>1</v>
      </c>
      <c r="B4" s="148" t="s">
        <v>132</v>
      </c>
      <c r="C4" s="167"/>
      <c r="D4" s="168">
        <v>1</v>
      </c>
      <c r="E4" s="169"/>
      <c r="F4" s="170">
        <v>23860</v>
      </c>
      <c r="G4" s="170"/>
      <c r="H4" s="170"/>
      <c r="I4" s="170"/>
      <c r="J4" s="170"/>
      <c r="K4" s="170"/>
      <c r="L4" s="170"/>
      <c r="M4" s="170"/>
      <c r="N4" s="170">
        <f>F4*N2</f>
        <v>14316</v>
      </c>
      <c r="O4" s="170"/>
      <c r="P4" s="170"/>
      <c r="Q4" s="170"/>
      <c r="R4" s="170"/>
      <c r="S4" s="170"/>
      <c r="T4" s="170">
        <f>F4+N4</f>
        <v>38176</v>
      </c>
      <c r="U4" s="170">
        <v>12</v>
      </c>
      <c r="V4" s="170">
        <f>T4*U4*D4/1000</f>
        <v>458.11200000000002</v>
      </c>
    </row>
    <row r="5" spans="1:24">
      <c r="A5" s="166">
        <v>2</v>
      </c>
      <c r="B5" s="148" t="s">
        <v>219</v>
      </c>
      <c r="C5" s="167"/>
      <c r="D5" s="168">
        <v>1</v>
      </c>
      <c r="E5" s="169"/>
      <c r="F5" s="170">
        <v>21860</v>
      </c>
      <c r="G5" s="170"/>
      <c r="H5" s="170"/>
      <c r="I5" s="170"/>
      <c r="J5" s="170"/>
      <c r="K5" s="170"/>
      <c r="L5" s="170"/>
      <c r="M5" s="170"/>
      <c r="N5" s="170">
        <f>F5*N2</f>
        <v>13116</v>
      </c>
      <c r="O5" s="170"/>
      <c r="P5" s="170"/>
      <c r="Q5" s="170"/>
      <c r="R5" s="170"/>
      <c r="S5" s="170"/>
      <c r="T5" s="170">
        <f>F5+N5</f>
        <v>34976</v>
      </c>
      <c r="U5" s="170">
        <v>12</v>
      </c>
      <c r="V5" s="170">
        <f>T5*U5*D5/1000</f>
        <v>419.71199999999999</v>
      </c>
      <c r="X5" s="354"/>
    </row>
    <row r="6" spans="1:24">
      <c r="A6" s="166">
        <v>3</v>
      </c>
      <c r="B6" s="148" t="s">
        <v>220</v>
      </c>
      <c r="C6" s="167"/>
      <c r="D6" s="168">
        <v>1</v>
      </c>
      <c r="E6" s="169"/>
      <c r="F6" s="170">
        <v>17813</v>
      </c>
      <c r="G6" s="170"/>
      <c r="H6" s="170"/>
      <c r="I6" s="170"/>
      <c r="J6" s="170"/>
      <c r="K6" s="170"/>
      <c r="L6" s="170"/>
      <c r="M6" s="170"/>
      <c r="N6" s="170">
        <f>F6*N2</f>
        <v>10687.8</v>
      </c>
      <c r="O6" s="170"/>
      <c r="P6" s="170"/>
      <c r="Q6" s="170"/>
      <c r="R6" s="170"/>
      <c r="S6" s="170"/>
      <c r="T6" s="170">
        <f>F6+N6</f>
        <v>28500.799999999999</v>
      </c>
      <c r="U6" s="170">
        <v>12</v>
      </c>
      <c r="V6" s="170">
        <f>T6*U6*D6/1000</f>
        <v>342.00959999999998</v>
      </c>
    </row>
    <row r="7" spans="1:24">
      <c r="A7" s="166">
        <v>4</v>
      </c>
      <c r="B7" s="148" t="s">
        <v>221</v>
      </c>
      <c r="C7" s="167"/>
      <c r="D7" s="168">
        <v>1</v>
      </c>
      <c r="E7" s="169"/>
      <c r="F7" s="170">
        <v>15000</v>
      </c>
      <c r="G7" s="170"/>
      <c r="H7" s="170"/>
      <c r="I7" s="170"/>
      <c r="J7" s="170"/>
      <c r="K7" s="170"/>
      <c r="L7" s="170"/>
      <c r="M7" s="170"/>
      <c r="N7" s="170">
        <f>F7*N2</f>
        <v>9000</v>
      </c>
      <c r="O7" s="170"/>
      <c r="P7" s="170"/>
      <c r="Q7" s="170"/>
      <c r="R7" s="170"/>
      <c r="S7" s="170"/>
      <c r="T7" s="170">
        <f>F7+N7</f>
        <v>24000</v>
      </c>
      <c r="U7" s="170">
        <v>12</v>
      </c>
      <c r="V7" s="170">
        <f>T7*U7*D7/1000</f>
        <v>288</v>
      </c>
    </row>
    <row r="8" spans="1:24" hidden="1">
      <c r="A8" s="166">
        <v>5</v>
      </c>
      <c r="B8" s="487"/>
      <c r="C8" s="491"/>
      <c r="D8" s="365"/>
      <c r="E8" s="492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</row>
    <row r="9" spans="1:24" hidden="1">
      <c r="A9" s="166">
        <v>6</v>
      </c>
      <c r="B9" s="487"/>
      <c r="C9" s="491"/>
      <c r="D9" s="365"/>
      <c r="E9" s="492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X9" s="354"/>
    </row>
    <row r="10" spans="1:24" hidden="1">
      <c r="A10" s="166">
        <v>7</v>
      </c>
      <c r="B10" s="487"/>
      <c r="C10" s="491"/>
      <c r="D10" s="365"/>
      <c r="E10" s="492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</row>
    <row r="11" spans="1:24" hidden="1">
      <c r="A11" s="166">
        <v>8</v>
      </c>
      <c r="B11" s="487"/>
      <c r="C11" s="491"/>
      <c r="D11" s="365"/>
      <c r="E11" s="492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</row>
    <row r="12" spans="1:24" hidden="1">
      <c r="A12" s="166">
        <v>9</v>
      </c>
      <c r="B12" s="148"/>
      <c r="C12" s="167"/>
      <c r="D12" s="168"/>
      <c r="E12" s="169"/>
      <c r="F12" s="170"/>
      <c r="G12" s="170"/>
      <c r="H12" s="170"/>
      <c r="I12" s="170"/>
      <c r="J12" s="170"/>
      <c r="K12" s="170"/>
      <c r="L12" s="170"/>
      <c r="M12" s="170"/>
      <c r="N12" s="170"/>
      <c r="O12" s="171"/>
      <c r="P12" s="170"/>
      <c r="Q12" s="170"/>
      <c r="R12" s="170"/>
      <c r="S12" s="170"/>
      <c r="T12" s="170"/>
      <c r="U12" s="170"/>
      <c r="V12" s="170"/>
    </row>
    <row r="13" spans="1:24" hidden="1">
      <c r="A13" s="166">
        <v>10</v>
      </c>
      <c r="B13" s="148"/>
      <c r="C13" s="167"/>
      <c r="D13" s="168"/>
      <c r="E13" s="169"/>
      <c r="F13" s="170"/>
      <c r="G13" s="170"/>
      <c r="H13" s="170"/>
      <c r="I13" s="170"/>
      <c r="J13" s="170"/>
      <c r="K13" s="170"/>
      <c r="L13" s="170"/>
      <c r="M13" s="170"/>
      <c r="N13" s="170"/>
      <c r="O13" s="171"/>
      <c r="P13" s="170"/>
      <c r="Q13" s="170"/>
      <c r="R13" s="170"/>
      <c r="S13" s="170"/>
      <c r="T13" s="170"/>
      <c r="U13" s="170"/>
      <c r="V13" s="170"/>
    </row>
    <row r="14" spans="1:24" hidden="1">
      <c r="A14" s="166">
        <v>11</v>
      </c>
      <c r="B14" s="148"/>
      <c r="C14" s="167"/>
      <c r="D14" s="168"/>
      <c r="E14" s="169"/>
      <c r="F14" s="170"/>
      <c r="G14" s="170"/>
      <c r="H14" s="170"/>
      <c r="I14" s="170"/>
      <c r="J14" s="170"/>
      <c r="K14" s="170"/>
      <c r="L14" s="170"/>
      <c r="M14" s="170"/>
      <c r="N14" s="170"/>
      <c r="O14" s="171"/>
      <c r="P14" s="170"/>
      <c r="Q14" s="170"/>
      <c r="R14" s="170"/>
      <c r="S14" s="170"/>
      <c r="T14" s="170"/>
      <c r="U14" s="170"/>
      <c r="V14" s="170"/>
    </row>
    <row r="15" spans="1:24" hidden="1">
      <c r="A15" s="166">
        <v>12</v>
      </c>
      <c r="B15" s="148"/>
      <c r="C15" s="167"/>
      <c r="D15" s="168"/>
      <c r="E15" s="169"/>
      <c r="F15" s="170"/>
      <c r="G15" s="170"/>
      <c r="H15" s="170"/>
      <c r="I15" s="170"/>
      <c r="J15" s="170"/>
      <c r="K15" s="170"/>
      <c r="L15" s="170"/>
      <c r="M15" s="170"/>
      <c r="N15" s="170"/>
      <c r="O15" s="171"/>
      <c r="P15" s="170"/>
      <c r="Q15" s="170"/>
      <c r="R15" s="170"/>
      <c r="S15" s="170"/>
      <c r="T15" s="170"/>
      <c r="U15" s="170"/>
      <c r="V15" s="170"/>
    </row>
    <row r="16" spans="1:24" hidden="1">
      <c r="A16" s="166">
        <v>13</v>
      </c>
      <c r="B16" s="487"/>
      <c r="C16" s="167"/>
      <c r="D16" s="365"/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1"/>
      <c r="P16" s="170"/>
      <c r="Q16" s="170"/>
      <c r="R16" s="170"/>
      <c r="S16" s="170"/>
      <c r="T16" s="170"/>
      <c r="U16" s="170"/>
      <c r="V16" s="170"/>
    </row>
    <row r="17" spans="1:23" hidden="1">
      <c r="A17" s="166">
        <v>14</v>
      </c>
      <c r="B17" s="487"/>
      <c r="C17" s="167"/>
      <c r="D17" s="365"/>
      <c r="E17" s="169"/>
      <c r="F17" s="170"/>
      <c r="G17" s="170"/>
      <c r="H17" s="170"/>
      <c r="I17" s="170"/>
      <c r="J17" s="170"/>
      <c r="K17" s="170"/>
      <c r="L17" s="170"/>
      <c r="M17" s="170"/>
      <c r="N17" s="170"/>
      <c r="O17" s="171"/>
      <c r="P17" s="170"/>
      <c r="Q17" s="170"/>
      <c r="R17" s="170"/>
      <c r="S17" s="170"/>
      <c r="T17" s="170"/>
      <c r="U17" s="170"/>
      <c r="V17" s="170"/>
    </row>
    <row r="18" spans="1:23" hidden="1">
      <c r="A18" s="166">
        <v>15</v>
      </c>
      <c r="B18" s="487"/>
      <c r="C18" s="491"/>
      <c r="D18" s="365"/>
      <c r="E18" s="492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</row>
    <row r="19" spans="1:23" hidden="1">
      <c r="A19" s="166">
        <v>16</v>
      </c>
      <c r="B19" s="148"/>
      <c r="C19" s="167"/>
      <c r="D19" s="168"/>
      <c r="E19" s="169"/>
      <c r="F19" s="170"/>
      <c r="G19" s="170"/>
      <c r="H19" s="170"/>
      <c r="I19" s="170"/>
      <c r="J19" s="170"/>
      <c r="K19" s="170"/>
      <c r="L19" s="170"/>
      <c r="M19" s="170"/>
      <c r="N19" s="170"/>
      <c r="O19" s="171"/>
      <c r="P19" s="170"/>
      <c r="Q19" s="170"/>
      <c r="R19" s="170"/>
      <c r="S19" s="170"/>
      <c r="T19" s="170"/>
      <c r="U19" s="170"/>
      <c r="V19" s="170"/>
    </row>
    <row r="20" spans="1:23" hidden="1">
      <c r="A20" s="166">
        <v>17</v>
      </c>
      <c r="B20" s="148"/>
      <c r="C20" s="167"/>
      <c r="D20" s="168"/>
      <c r="E20" s="169"/>
      <c r="F20" s="170"/>
      <c r="G20" s="170"/>
      <c r="H20" s="170"/>
      <c r="I20" s="170"/>
      <c r="J20" s="170"/>
      <c r="K20" s="170"/>
      <c r="L20" s="170"/>
      <c r="M20" s="170"/>
      <c r="N20" s="170"/>
      <c r="O20" s="171"/>
      <c r="P20" s="170"/>
      <c r="Q20" s="170"/>
      <c r="R20" s="170"/>
      <c r="S20" s="170"/>
      <c r="T20" s="170"/>
      <c r="U20" s="170"/>
      <c r="V20" s="170"/>
    </row>
    <row r="21" spans="1:23" hidden="1">
      <c r="A21" s="166"/>
      <c r="B21" s="148"/>
      <c r="C21" s="167"/>
      <c r="D21" s="168"/>
      <c r="E21" s="169"/>
      <c r="F21" s="170"/>
      <c r="G21" s="170"/>
      <c r="H21" s="170"/>
      <c r="I21" s="170"/>
      <c r="J21" s="170"/>
      <c r="K21" s="170"/>
      <c r="L21" s="170"/>
      <c r="M21" s="170"/>
      <c r="N21" s="170"/>
      <c r="O21" s="171"/>
      <c r="P21" s="170"/>
      <c r="Q21" s="170"/>
      <c r="R21" s="170"/>
      <c r="S21" s="170"/>
      <c r="T21" s="170"/>
      <c r="U21" s="170"/>
      <c r="V21" s="170"/>
    </row>
    <row r="22" spans="1:23" hidden="1">
      <c r="A22" s="166"/>
      <c r="B22" s="148"/>
      <c r="C22" s="167"/>
      <c r="D22" s="168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1"/>
      <c r="P22" s="170"/>
      <c r="Q22" s="170"/>
      <c r="R22" s="170"/>
      <c r="S22" s="170"/>
      <c r="T22" s="170"/>
      <c r="U22" s="170"/>
      <c r="V22" s="170"/>
    </row>
    <row r="23" spans="1:23" hidden="1">
      <c r="A23" s="166"/>
      <c r="B23" s="148"/>
      <c r="C23" s="167"/>
      <c r="D23" s="168"/>
      <c r="E23" s="169"/>
      <c r="F23" s="170"/>
      <c r="G23" s="170"/>
      <c r="H23" s="170"/>
      <c r="I23" s="170"/>
      <c r="J23" s="170"/>
      <c r="K23" s="170"/>
      <c r="L23" s="170"/>
      <c r="M23" s="170"/>
      <c r="N23" s="170"/>
      <c r="O23" s="171"/>
      <c r="P23" s="170"/>
      <c r="Q23" s="170"/>
      <c r="R23" s="170"/>
      <c r="S23" s="170"/>
      <c r="T23" s="170"/>
      <c r="U23" s="170"/>
      <c r="V23" s="170"/>
    </row>
    <row r="24" spans="1:23" hidden="1">
      <c r="A24" s="166"/>
      <c r="B24" s="148"/>
      <c r="C24" s="167"/>
      <c r="D24" s="168"/>
      <c r="E24" s="169"/>
      <c r="F24" s="170"/>
      <c r="G24" s="170"/>
      <c r="H24" s="170"/>
      <c r="I24" s="170"/>
      <c r="J24" s="170"/>
      <c r="K24" s="170"/>
      <c r="L24" s="170"/>
      <c r="M24" s="170"/>
      <c r="N24" s="170"/>
      <c r="O24" s="171"/>
      <c r="P24" s="170"/>
      <c r="Q24" s="170"/>
      <c r="R24" s="170"/>
      <c r="S24" s="170"/>
      <c r="T24" s="170"/>
      <c r="U24" s="170"/>
      <c r="V24" s="170"/>
    </row>
    <row r="25" spans="1:23" hidden="1">
      <c r="A25" s="165"/>
      <c r="C25" s="167"/>
      <c r="D25" s="168"/>
      <c r="E25" s="169"/>
      <c r="F25" s="170"/>
      <c r="G25" s="170"/>
      <c r="H25" s="170"/>
      <c r="I25" s="170"/>
      <c r="J25" s="170"/>
      <c r="K25" s="170"/>
      <c r="L25" s="170"/>
      <c r="M25" s="170"/>
      <c r="N25" s="170"/>
      <c r="O25" s="171"/>
      <c r="P25" s="170"/>
      <c r="Q25" s="170"/>
      <c r="R25" s="170"/>
      <c r="S25" s="170"/>
      <c r="T25" s="170"/>
      <c r="U25" s="170"/>
      <c r="V25" s="170"/>
    </row>
    <row r="26" spans="1:23">
      <c r="A26" s="144"/>
      <c r="B26" s="154"/>
      <c r="C26" s="172"/>
      <c r="D26" s="173">
        <f>D4+D5+D6+D7+D12+D13+D14+D15+D19+D20</f>
        <v>4</v>
      </c>
      <c r="E26" s="174"/>
      <c r="F26" s="175"/>
      <c r="G26" s="175"/>
      <c r="H26" s="172"/>
      <c r="I26" s="172"/>
      <c r="J26" s="172"/>
      <c r="K26" s="172"/>
      <c r="L26" s="172"/>
      <c r="M26" s="172"/>
      <c r="N26" s="172"/>
      <c r="O26" s="175"/>
      <c r="P26" s="172"/>
      <c r="Q26" s="172"/>
      <c r="R26" s="172"/>
      <c r="S26" s="172"/>
      <c r="T26" s="172"/>
      <c r="U26" s="172"/>
      <c r="V26" s="176">
        <f>V4+V5+V6+V7+V12+V13+V14+V15+V19+V20</f>
        <v>1507.8335999999999</v>
      </c>
      <c r="W26" s="354"/>
    </row>
    <row r="27" spans="1:23">
      <c r="A27" s="150"/>
      <c r="B27" s="151"/>
      <c r="C27" s="177"/>
      <c r="D27" s="178"/>
      <c r="E27" s="178"/>
      <c r="F27" s="179"/>
      <c r="G27" s="179"/>
      <c r="H27" s="177"/>
      <c r="I27" s="177"/>
      <c r="J27" s="177"/>
      <c r="K27" s="177"/>
      <c r="L27" s="177"/>
      <c r="M27" s="177"/>
      <c r="N27" s="177"/>
      <c r="O27" s="179"/>
      <c r="P27" s="177"/>
      <c r="Q27" s="177"/>
      <c r="R27" s="177"/>
      <c r="S27" s="177"/>
      <c r="T27" s="177"/>
      <c r="U27" s="177"/>
      <c r="V27" s="177"/>
    </row>
    <row r="28" spans="1:23">
      <c r="A28" s="839" t="s">
        <v>151</v>
      </c>
      <c r="B28" s="840"/>
      <c r="C28" s="840"/>
      <c r="D28" s="840"/>
      <c r="E28" s="840"/>
      <c r="F28" s="840"/>
      <c r="G28" s="840"/>
      <c r="H28" s="840"/>
      <c r="I28" s="840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152"/>
    </row>
    <row r="29" spans="1:23">
      <c r="A29" s="166">
        <v>1</v>
      </c>
      <c r="B29" s="148" t="s">
        <v>313</v>
      </c>
      <c r="C29" s="167"/>
      <c r="D29" s="168">
        <v>1</v>
      </c>
      <c r="E29" s="168"/>
      <c r="F29" s="170">
        <v>13000</v>
      </c>
      <c r="G29" s="170"/>
      <c r="H29" s="170"/>
      <c r="I29" s="170"/>
      <c r="J29" s="170"/>
      <c r="K29" s="170"/>
      <c r="L29" s="170"/>
      <c r="M29" s="170"/>
      <c r="N29" s="170">
        <f>F29*N2</f>
        <v>7800</v>
      </c>
      <c r="O29" s="170"/>
      <c r="P29" s="170"/>
      <c r="Q29" s="170"/>
      <c r="R29" s="170"/>
      <c r="S29" s="170"/>
      <c r="T29" s="170">
        <f>F29+N29</f>
        <v>20800</v>
      </c>
      <c r="U29" s="180">
        <v>12</v>
      </c>
      <c r="V29" s="170">
        <f>T29*U29*D29/1000</f>
        <v>249.6</v>
      </c>
    </row>
    <row r="30" spans="1:23" hidden="1">
      <c r="A30" s="166">
        <v>2</v>
      </c>
      <c r="B30" s="148"/>
      <c r="C30" s="167"/>
      <c r="D30" s="168"/>
      <c r="E30" s="168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80"/>
      <c r="V30" s="170"/>
    </row>
    <row r="31" spans="1:23" hidden="1">
      <c r="A31" s="166">
        <v>3</v>
      </c>
      <c r="B31" s="148"/>
      <c r="C31" s="167"/>
      <c r="D31" s="168"/>
      <c r="E31" s="168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80"/>
      <c r="V31" s="170"/>
    </row>
    <row r="32" spans="1:23" hidden="1">
      <c r="A32" s="166">
        <v>4</v>
      </c>
      <c r="B32" s="148"/>
      <c r="C32" s="167"/>
      <c r="D32" s="168"/>
      <c r="E32" s="168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80"/>
      <c r="V32" s="170"/>
    </row>
    <row r="33" spans="1:22">
      <c r="A33" s="144"/>
      <c r="B33" s="154"/>
      <c r="C33" s="172"/>
      <c r="D33" s="173">
        <f>D29</f>
        <v>1</v>
      </c>
      <c r="E33" s="181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82"/>
      <c r="V33" s="176">
        <f>V29</f>
        <v>249.6</v>
      </c>
    </row>
    <row r="34" spans="1:22">
      <c r="A34" s="155"/>
      <c r="B34" s="156"/>
      <c r="C34" s="183"/>
      <c r="D34" s="184"/>
      <c r="E34" s="184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</row>
    <row r="35" spans="1:22">
      <c r="A35" s="836" t="s">
        <v>307</v>
      </c>
      <c r="B35" s="837"/>
      <c r="C35" s="837"/>
      <c r="D35" s="837"/>
      <c r="E35" s="837"/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  <c r="T35" s="837"/>
      <c r="U35" s="837"/>
      <c r="V35" s="176"/>
    </row>
    <row r="36" spans="1:22">
      <c r="A36" s="166">
        <v>1</v>
      </c>
      <c r="B36" s="153" t="s">
        <v>310</v>
      </c>
      <c r="C36" s="167"/>
      <c r="D36" s="168">
        <v>0.5</v>
      </c>
      <c r="E36" s="168">
        <v>78.3</v>
      </c>
      <c r="F36" s="170">
        <v>12842</v>
      </c>
      <c r="G36" s="170">
        <f>F36*0.08</f>
        <v>1027.3600000000001</v>
      </c>
      <c r="H36" s="170"/>
      <c r="I36" s="170"/>
      <c r="J36" s="170"/>
      <c r="K36" s="170"/>
      <c r="L36" s="170">
        <f>F36*0.42</f>
        <v>5393.6399999999994</v>
      </c>
      <c r="M36" s="170"/>
      <c r="N36" s="170"/>
      <c r="O36" s="170"/>
      <c r="P36" s="170"/>
      <c r="Q36" s="170"/>
      <c r="R36" s="170"/>
      <c r="S36" s="170"/>
      <c r="T36" s="170">
        <f>F36+L36+G36</f>
        <v>19263</v>
      </c>
      <c r="U36" s="180">
        <v>12</v>
      </c>
      <c r="V36" s="185">
        <f>T36*U36*D36/1000</f>
        <v>115.578</v>
      </c>
    </row>
    <row r="37" spans="1:22" ht="27" customHeight="1">
      <c r="A37" s="166">
        <v>2</v>
      </c>
      <c r="B37" s="167" t="s">
        <v>311</v>
      </c>
      <c r="C37" s="167"/>
      <c r="D37" s="168">
        <v>4</v>
      </c>
      <c r="E37" s="168">
        <v>78.3</v>
      </c>
      <c r="F37" s="170">
        <v>12842</v>
      </c>
      <c r="G37" s="170"/>
      <c r="H37" s="170"/>
      <c r="I37" s="170"/>
      <c r="J37" s="170"/>
      <c r="K37" s="170"/>
      <c r="L37" s="170">
        <f>F37*0.44</f>
        <v>5650.4800000000005</v>
      </c>
      <c r="M37" s="170"/>
      <c r="N37" s="170"/>
      <c r="O37" s="366"/>
      <c r="P37" s="170"/>
      <c r="Q37" s="170"/>
      <c r="R37" s="170"/>
      <c r="S37" s="170"/>
      <c r="T37" s="170">
        <f>F37+L37</f>
        <v>18492.48</v>
      </c>
      <c r="U37" s="180">
        <v>12</v>
      </c>
      <c r="V37" s="185">
        <f>T37*U37*D37/1000</f>
        <v>887.63904000000002</v>
      </c>
    </row>
    <row r="38" spans="1:22">
      <c r="A38" s="144"/>
      <c r="B38" s="154"/>
      <c r="C38" s="172"/>
      <c r="D38" s="173">
        <f>D36+D37</f>
        <v>4.5</v>
      </c>
      <c r="E38" s="18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82"/>
      <c r="V38" s="176">
        <f>SUM(V36:V37)</f>
        <v>1003.21704</v>
      </c>
    </row>
    <row r="39" spans="1:22">
      <c r="A39" s="155"/>
      <c r="B39" s="156"/>
      <c r="C39" s="183"/>
      <c r="D39" s="455"/>
      <c r="E39" s="184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560"/>
    </row>
    <row r="40" spans="1:22">
      <c r="A40" s="836" t="s">
        <v>308</v>
      </c>
      <c r="B40" s="837"/>
      <c r="C40" s="837"/>
      <c r="D40" s="837"/>
      <c r="E40" s="837"/>
      <c r="F40" s="837"/>
      <c r="G40" s="837"/>
      <c r="H40" s="837"/>
      <c r="I40" s="837"/>
      <c r="J40" s="837"/>
      <c r="K40" s="837"/>
      <c r="L40" s="837"/>
      <c r="M40" s="837"/>
      <c r="N40" s="837"/>
      <c r="O40" s="837"/>
      <c r="P40" s="837"/>
      <c r="Q40" s="837"/>
      <c r="R40" s="837"/>
      <c r="S40" s="837"/>
      <c r="T40" s="837"/>
      <c r="U40" s="837"/>
      <c r="V40" s="176"/>
    </row>
    <row r="41" spans="1:22">
      <c r="A41" s="166">
        <v>1</v>
      </c>
      <c r="B41" s="153" t="s">
        <v>309</v>
      </c>
      <c r="C41" s="167"/>
      <c r="D41" s="168">
        <v>2</v>
      </c>
      <c r="E41" s="168">
        <v>78.3</v>
      </c>
      <c r="F41" s="170">
        <v>12842</v>
      </c>
      <c r="G41" s="170">
        <f>F41*0.08</f>
        <v>1027.3600000000001</v>
      </c>
      <c r="H41" s="170"/>
      <c r="I41" s="170"/>
      <c r="J41" s="170"/>
      <c r="K41" s="170"/>
      <c r="L41" s="170">
        <f>F41*0.26</f>
        <v>3338.92</v>
      </c>
      <c r="M41" s="170">
        <f>F41*0.4</f>
        <v>5136.8</v>
      </c>
      <c r="N41" s="170"/>
      <c r="O41" s="170"/>
      <c r="P41" s="170"/>
      <c r="Q41" s="170"/>
      <c r="R41" s="170"/>
      <c r="S41" s="170"/>
      <c r="T41" s="170">
        <f>F41+G41+L41+M41</f>
        <v>22345.079999999998</v>
      </c>
      <c r="U41" s="180">
        <v>12</v>
      </c>
      <c r="V41" s="185">
        <f>T41*U41*D41/1000</f>
        <v>536.2819199999999</v>
      </c>
    </row>
    <row r="42" spans="1:22">
      <c r="A42" s="166">
        <v>2</v>
      </c>
      <c r="B42" s="153" t="s">
        <v>310</v>
      </c>
      <c r="C42" s="167"/>
      <c r="D42" s="168">
        <v>0.5</v>
      </c>
      <c r="E42" s="168">
        <v>78.3</v>
      </c>
      <c r="F42" s="170">
        <v>12842</v>
      </c>
      <c r="G42" s="170">
        <f>F42*0.08</f>
        <v>1027.3600000000001</v>
      </c>
      <c r="H42" s="170"/>
      <c r="I42" s="170"/>
      <c r="J42" s="170"/>
      <c r="K42" s="170"/>
      <c r="L42" s="170">
        <f>F42*0.42</f>
        <v>5393.6399999999994</v>
      </c>
      <c r="M42" s="170"/>
      <c r="N42" s="170"/>
      <c r="O42" s="366"/>
      <c r="P42" s="170"/>
      <c r="Q42" s="170"/>
      <c r="R42" s="170"/>
      <c r="S42" s="170"/>
      <c r="T42" s="170">
        <f>F42+G42+L42</f>
        <v>19263</v>
      </c>
      <c r="U42" s="180">
        <v>12</v>
      </c>
      <c r="V42" s="185">
        <f>T42*U42*D42/1000</f>
        <v>115.578</v>
      </c>
    </row>
    <row r="43" spans="1:22">
      <c r="A43" s="144"/>
      <c r="B43" s="154"/>
      <c r="C43" s="172"/>
      <c r="D43" s="173">
        <f>D41+D42</f>
        <v>2.5</v>
      </c>
      <c r="E43" s="181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82"/>
      <c r="V43" s="176">
        <f>SUM(V41:V42)</f>
        <v>651.85991999999987</v>
      </c>
    </row>
    <row r="44" spans="1:22">
      <c r="A44" s="155"/>
      <c r="B44" s="156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</row>
    <row r="45" spans="1:22">
      <c r="A45" s="845" t="s">
        <v>133</v>
      </c>
      <c r="B45" s="845"/>
      <c r="C45" s="845"/>
      <c r="D45" s="845"/>
      <c r="E45" s="845"/>
      <c r="F45" s="845"/>
      <c r="G45" s="845"/>
      <c r="H45" s="845"/>
      <c r="I45" s="845"/>
      <c r="J45" s="845"/>
      <c r="K45" s="845"/>
      <c r="L45" s="845"/>
      <c r="M45" s="845"/>
      <c r="N45" s="845"/>
      <c r="O45" s="845"/>
      <c r="P45" s="845"/>
      <c r="Q45" s="845"/>
      <c r="R45" s="845"/>
      <c r="S45" s="845"/>
      <c r="T45" s="845"/>
      <c r="U45" s="845"/>
      <c r="V45" s="147"/>
    </row>
    <row r="46" spans="1:22" ht="25.5">
      <c r="A46" s="166">
        <v>1</v>
      </c>
      <c r="B46" s="561" t="s">
        <v>314</v>
      </c>
      <c r="C46" s="186"/>
      <c r="D46" s="169">
        <v>4</v>
      </c>
      <c r="E46" s="168">
        <v>43.02</v>
      </c>
      <c r="F46" s="170">
        <v>7056</v>
      </c>
      <c r="G46" s="170"/>
      <c r="H46" s="170"/>
      <c r="I46" s="170"/>
      <c r="J46" s="170"/>
      <c r="K46" s="170"/>
      <c r="L46" s="170">
        <f>F46*0.153</f>
        <v>1079.568</v>
      </c>
      <c r="M46" s="170">
        <f>F46*0.4</f>
        <v>2822.4</v>
      </c>
      <c r="N46" s="170"/>
      <c r="O46" s="170"/>
      <c r="P46" s="170"/>
      <c r="Q46" s="170"/>
      <c r="R46" s="170"/>
      <c r="S46" s="170"/>
      <c r="T46" s="170">
        <f>F46+L46+M46</f>
        <v>10957.968000000001</v>
      </c>
      <c r="U46" s="170">
        <v>12</v>
      </c>
      <c r="V46" s="170">
        <f>T46*U46*D46/1000</f>
        <v>525.98246400000005</v>
      </c>
    </row>
    <row r="47" spans="1:22" ht="25.5">
      <c r="A47" s="166"/>
      <c r="B47" s="561" t="s">
        <v>315</v>
      </c>
      <c r="C47" s="186"/>
      <c r="D47" s="169">
        <v>4</v>
      </c>
      <c r="E47" s="168">
        <v>43.02</v>
      </c>
      <c r="F47" s="170">
        <v>7056</v>
      </c>
      <c r="G47" s="170"/>
      <c r="H47" s="170"/>
      <c r="I47" s="170"/>
      <c r="J47" s="170"/>
      <c r="K47" s="170"/>
      <c r="L47" s="170">
        <f>F47*0.27</f>
        <v>1905.1200000000001</v>
      </c>
      <c r="M47" s="170">
        <f>F47*0.4</f>
        <v>2822.4</v>
      </c>
      <c r="N47" s="170"/>
      <c r="O47" s="170"/>
      <c r="P47" s="170"/>
      <c r="Q47" s="170"/>
      <c r="R47" s="170"/>
      <c r="S47" s="170"/>
      <c r="T47" s="170">
        <f>F47+L47+M47</f>
        <v>11783.52</v>
      </c>
      <c r="U47" s="170">
        <v>12</v>
      </c>
      <c r="V47" s="170">
        <f>T47*U47*D47/1000</f>
        <v>565.60895999999991</v>
      </c>
    </row>
    <row r="48" spans="1:22">
      <c r="A48" s="144"/>
      <c r="B48" s="154"/>
      <c r="C48" s="158"/>
      <c r="D48" s="159">
        <f>D46+D47</f>
        <v>8</v>
      </c>
      <c r="E48" s="159"/>
      <c r="F48" s="158"/>
      <c r="G48" s="158"/>
      <c r="H48" s="158"/>
      <c r="I48" s="158"/>
      <c r="J48" s="158"/>
      <c r="K48" s="158"/>
      <c r="L48" s="158"/>
      <c r="M48" s="158"/>
      <c r="N48" s="158"/>
      <c r="O48" s="187"/>
      <c r="P48" s="158"/>
      <c r="Q48" s="158"/>
      <c r="R48" s="158"/>
      <c r="S48" s="158"/>
      <c r="T48" s="158"/>
      <c r="U48" s="188"/>
      <c r="V48" s="189">
        <f>SUM(V46:V47)</f>
        <v>1091.591424</v>
      </c>
    </row>
    <row r="49" spans="1:23">
      <c r="A49" s="155"/>
      <c r="B49" s="156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455"/>
      <c r="P49" s="355"/>
      <c r="Q49" s="355"/>
      <c r="R49" s="355"/>
      <c r="S49" s="355"/>
      <c r="T49" s="355"/>
      <c r="U49" s="456"/>
      <c r="V49" s="456"/>
    </row>
    <row r="50" spans="1:23">
      <c r="A50" s="845" t="s">
        <v>203</v>
      </c>
      <c r="B50" s="845"/>
      <c r="C50" s="845"/>
      <c r="D50" s="845"/>
      <c r="E50" s="845"/>
      <c r="F50" s="845"/>
      <c r="G50" s="845"/>
      <c r="H50" s="845"/>
      <c r="I50" s="845"/>
      <c r="J50" s="845"/>
      <c r="K50" s="845"/>
      <c r="L50" s="845"/>
      <c r="M50" s="845"/>
      <c r="N50" s="845"/>
      <c r="O50" s="845"/>
      <c r="P50" s="845"/>
      <c r="Q50" s="845"/>
      <c r="R50" s="845"/>
      <c r="S50" s="845"/>
      <c r="T50" s="845"/>
      <c r="U50" s="845"/>
      <c r="V50" s="147"/>
    </row>
    <row r="51" spans="1:23" ht="25.5">
      <c r="A51" s="166">
        <v>1</v>
      </c>
      <c r="B51" s="561" t="s">
        <v>316</v>
      </c>
      <c r="C51" s="186"/>
      <c r="D51" s="169">
        <v>8</v>
      </c>
      <c r="E51" s="168">
        <v>43.02</v>
      </c>
      <c r="F51" s="170">
        <v>7056</v>
      </c>
      <c r="G51" s="170">
        <f>F51*0.08</f>
        <v>564.48</v>
      </c>
      <c r="H51" s="170"/>
      <c r="I51" s="170"/>
      <c r="J51" s="170"/>
      <c r="K51" s="170"/>
      <c r="L51" s="170">
        <f>F51*0.4</f>
        <v>2822.4</v>
      </c>
      <c r="M51" s="170">
        <f>F51*0.41</f>
        <v>2892.96</v>
      </c>
      <c r="N51" s="170"/>
      <c r="O51" s="170"/>
      <c r="P51" s="170"/>
      <c r="Q51" s="170"/>
      <c r="R51" s="170"/>
      <c r="S51" s="170"/>
      <c r="T51" s="170">
        <f>F51+G51+L51+M51</f>
        <v>13335.84</v>
      </c>
      <c r="U51" s="170">
        <v>12</v>
      </c>
      <c r="V51" s="170">
        <f>T51*U51*D51/1000</f>
        <v>1280.2406400000002</v>
      </c>
    </row>
    <row r="52" spans="1:23">
      <c r="A52" s="144"/>
      <c r="B52" s="154"/>
      <c r="C52" s="158"/>
      <c r="D52" s="159"/>
      <c r="E52" s="159"/>
      <c r="F52" s="158"/>
      <c r="G52" s="158"/>
      <c r="H52" s="158"/>
      <c r="I52" s="158"/>
      <c r="J52" s="158"/>
      <c r="K52" s="158"/>
      <c r="L52" s="158"/>
      <c r="M52" s="158"/>
      <c r="N52" s="158"/>
      <c r="O52" s="187"/>
      <c r="P52" s="158"/>
      <c r="Q52" s="158"/>
      <c r="R52" s="158"/>
      <c r="S52" s="158"/>
      <c r="T52" s="158"/>
      <c r="U52" s="188"/>
      <c r="V52" s="189">
        <f>V51</f>
        <v>1280.2406400000002</v>
      </c>
    </row>
    <row r="53" spans="1:23">
      <c r="A53" s="15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</row>
    <row r="54" spans="1:23" hidden="1">
      <c r="A54" s="15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83"/>
      <c r="P54" s="157"/>
      <c r="Q54" s="157"/>
      <c r="R54" s="157"/>
      <c r="S54" s="157"/>
      <c r="T54" s="157"/>
      <c r="U54" s="183"/>
      <c r="V54" s="183"/>
    </row>
    <row r="55" spans="1:23">
      <c r="A55" s="845" t="s">
        <v>182</v>
      </c>
      <c r="B55" s="845"/>
      <c r="C55" s="845"/>
      <c r="D55" s="845"/>
      <c r="E55" s="845"/>
      <c r="F55" s="845"/>
      <c r="G55" s="845"/>
      <c r="H55" s="845"/>
      <c r="I55" s="845"/>
      <c r="J55" s="845"/>
      <c r="K55" s="845"/>
      <c r="L55" s="845"/>
      <c r="M55" s="845"/>
      <c r="N55" s="845"/>
      <c r="O55" s="845"/>
      <c r="P55" s="845"/>
      <c r="Q55" s="845"/>
      <c r="R55" s="845"/>
      <c r="S55" s="845"/>
      <c r="T55" s="845"/>
      <c r="U55" s="845"/>
      <c r="V55" s="147"/>
    </row>
    <row r="56" spans="1:23">
      <c r="A56" s="166">
        <v>1</v>
      </c>
      <c r="B56" s="148"/>
      <c r="C56" s="186"/>
      <c r="D56" s="365"/>
      <c r="E56" s="168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1"/>
    </row>
    <row r="57" spans="1:23">
      <c r="A57" s="166">
        <v>2</v>
      </c>
      <c r="B57" s="148"/>
      <c r="C57" s="186"/>
      <c r="D57" s="168"/>
      <c r="E57" s="168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1"/>
    </row>
    <row r="58" spans="1:23" hidden="1">
      <c r="A58" s="166">
        <v>3</v>
      </c>
      <c r="B58" s="148"/>
      <c r="C58" s="186"/>
      <c r="D58" s="168"/>
      <c r="E58" s="168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1"/>
    </row>
    <row r="59" spans="1:23" hidden="1">
      <c r="A59" s="166">
        <v>4</v>
      </c>
      <c r="B59" s="148"/>
      <c r="C59" s="186"/>
      <c r="D59" s="168"/>
      <c r="E59" s="168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1"/>
    </row>
    <row r="60" spans="1:23" hidden="1">
      <c r="A60" s="166">
        <v>5</v>
      </c>
      <c r="B60" s="148"/>
      <c r="C60" s="186"/>
      <c r="D60" s="168"/>
      <c r="E60" s="168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1"/>
    </row>
    <row r="61" spans="1:23">
      <c r="A61" s="144"/>
      <c r="B61" s="154"/>
      <c r="C61" s="192"/>
      <c r="D61" s="159"/>
      <c r="E61" s="193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47"/>
    </row>
    <row r="62" spans="1:23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</row>
    <row r="63" spans="1:23" hidden="1">
      <c r="A63" s="845" t="s">
        <v>183</v>
      </c>
      <c r="B63" s="845"/>
      <c r="C63" s="845"/>
      <c r="D63" s="845"/>
      <c r="E63" s="845"/>
      <c r="F63" s="845"/>
      <c r="G63" s="845"/>
      <c r="H63" s="845"/>
      <c r="I63" s="845"/>
      <c r="J63" s="845"/>
      <c r="K63" s="845"/>
      <c r="L63" s="845"/>
      <c r="M63" s="845"/>
      <c r="N63" s="845"/>
      <c r="O63" s="845"/>
      <c r="P63" s="845"/>
      <c r="Q63" s="845"/>
      <c r="R63" s="845"/>
      <c r="S63" s="845"/>
      <c r="T63" s="845"/>
      <c r="U63" s="845"/>
      <c r="V63" s="147"/>
    </row>
    <row r="64" spans="1:23" hidden="1">
      <c r="A64" s="166">
        <v>1</v>
      </c>
      <c r="B64" s="148" t="s">
        <v>184</v>
      </c>
      <c r="C64" s="186"/>
      <c r="D64" s="168"/>
      <c r="E64" s="168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>
        <v>2963</v>
      </c>
      <c r="S64" s="190"/>
      <c r="T64" s="190">
        <f>F64+R64</f>
        <v>2963</v>
      </c>
      <c r="U64" s="190">
        <v>12</v>
      </c>
      <c r="V64" s="191">
        <f>T64*U64*D64/1000</f>
        <v>0</v>
      </c>
    </row>
    <row r="65" spans="1:25" hidden="1">
      <c r="A65" s="166"/>
      <c r="B65" s="148"/>
      <c r="C65" s="186"/>
      <c r="D65" s="168"/>
      <c r="E65" s="168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1"/>
    </row>
    <row r="66" spans="1:25" hidden="1">
      <c r="A66" s="166">
        <v>3</v>
      </c>
      <c r="B66" s="148"/>
      <c r="C66" s="186"/>
      <c r="D66" s="168"/>
      <c r="E66" s="168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1"/>
    </row>
    <row r="67" spans="1:25" hidden="1">
      <c r="A67" s="166">
        <v>4</v>
      </c>
      <c r="B67" s="148"/>
      <c r="C67" s="186"/>
      <c r="D67" s="168"/>
      <c r="E67" s="168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1"/>
    </row>
    <row r="68" spans="1:25" hidden="1">
      <c r="A68" s="166">
        <v>5</v>
      </c>
      <c r="B68" s="148"/>
      <c r="C68" s="186"/>
      <c r="D68" s="168"/>
      <c r="E68" s="168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1"/>
    </row>
    <row r="69" spans="1:25" hidden="1">
      <c r="A69" s="144"/>
      <c r="B69" s="154"/>
      <c r="C69" s="192"/>
      <c r="D69" s="159"/>
      <c r="E69" s="193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47">
        <f>SUM(V64:V68)</f>
        <v>0</v>
      </c>
    </row>
    <row r="70" spans="1:25">
      <c r="A70" s="155"/>
      <c r="B70" s="156"/>
      <c r="C70" s="157"/>
      <c r="D70" s="355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356"/>
      <c r="W70" s="209"/>
    </row>
    <row r="71" spans="1:25" ht="41.25" customHeight="1" thickBot="1">
      <c r="A71" s="155"/>
      <c r="B71" s="850" t="s">
        <v>301</v>
      </c>
      <c r="C71" s="850"/>
      <c r="D71" s="850"/>
      <c r="E71" s="850"/>
      <c r="F71" s="850"/>
      <c r="G71" s="450"/>
      <c r="H71" s="550"/>
      <c r="I71" s="550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356"/>
      <c r="W71" s="209"/>
    </row>
    <row r="72" spans="1:25" ht="51" thickTop="1" thickBot="1">
      <c r="A72" s="155"/>
      <c r="B72" s="551" t="s">
        <v>302</v>
      </c>
      <c r="C72" s="551" t="s">
        <v>303</v>
      </c>
      <c r="D72" s="551" t="s">
        <v>304</v>
      </c>
      <c r="E72" s="552" t="s">
        <v>317</v>
      </c>
      <c r="F72" s="551"/>
      <c r="G72" s="551"/>
      <c r="H72" s="553" t="s">
        <v>305</v>
      </c>
      <c r="I72" s="554" t="s">
        <v>306</v>
      </c>
      <c r="J72" s="157"/>
      <c r="K72" s="157"/>
      <c r="L72" s="468" t="s">
        <v>204</v>
      </c>
      <c r="M72" s="469" t="s">
        <v>205</v>
      </c>
      <c r="N72" s="853" t="s">
        <v>131</v>
      </c>
      <c r="O72" s="157"/>
      <c r="P72" s="157"/>
      <c r="Q72" s="157"/>
      <c r="R72" s="157"/>
      <c r="S72" s="157"/>
      <c r="T72" s="551" t="s">
        <v>302</v>
      </c>
      <c r="U72" s="551" t="s">
        <v>303</v>
      </c>
      <c r="V72" s="551" t="s">
        <v>304</v>
      </c>
      <c r="W72" s="552"/>
      <c r="X72" s="468" t="s">
        <v>204</v>
      </c>
      <c r="Y72" s="469" t="s">
        <v>205</v>
      </c>
    </row>
    <row r="73" spans="1:25" ht="18" thickTop="1" thickBot="1">
      <c r="A73" s="155"/>
      <c r="B73" s="555">
        <f>C73+D73+E73</f>
        <v>3279.992064</v>
      </c>
      <c r="C73" s="556">
        <f>V48</f>
        <v>1091.591424</v>
      </c>
      <c r="D73" s="556">
        <f>V52</f>
        <v>1280.2406400000002</v>
      </c>
      <c r="E73" s="557">
        <v>908.16</v>
      </c>
      <c r="F73" s="557"/>
      <c r="G73" s="557"/>
      <c r="H73" s="558">
        <f>C73/B73</f>
        <v>0.33280306863571729</v>
      </c>
      <c r="I73" s="559">
        <f>D73/B73</f>
        <v>0.3903182126723585</v>
      </c>
      <c r="J73" s="157"/>
      <c r="K73" s="157"/>
      <c r="L73" s="488">
        <f>C73/B73</f>
        <v>0.33280306863571729</v>
      </c>
      <c r="M73" s="489">
        <f>D73/B73</f>
        <v>0.3903182126723585</v>
      </c>
      <c r="N73" s="853"/>
      <c r="O73" s="157"/>
      <c r="P73" s="157"/>
      <c r="Q73" s="157"/>
      <c r="R73" s="157"/>
      <c r="S73" s="157"/>
      <c r="T73" s="555">
        <f>U73+V73+W73</f>
        <v>2371.8320640000002</v>
      </c>
      <c r="U73" s="556">
        <f>V48</f>
        <v>1091.591424</v>
      </c>
      <c r="V73" s="556">
        <f>V52</f>
        <v>1280.2406400000002</v>
      </c>
      <c r="W73" s="557"/>
      <c r="X73" s="488">
        <f>U73/T73</f>
        <v>0.46023132943024414</v>
      </c>
      <c r="Y73" s="489">
        <f>V73/T73</f>
        <v>0.53976867056975586</v>
      </c>
    </row>
    <row r="74" spans="1:25" ht="18" thickTop="1" thickBot="1">
      <c r="A74" s="145"/>
      <c r="B74" s="194"/>
      <c r="C74" s="194"/>
      <c r="D74" s="194"/>
      <c r="E74" s="490"/>
      <c r="F74" s="490"/>
      <c r="G74" s="157"/>
      <c r="H74" s="194"/>
      <c r="I74" s="194"/>
      <c r="J74" s="194"/>
      <c r="K74" s="195"/>
      <c r="L74" s="202"/>
      <c r="M74" s="202"/>
      <c r="N74" s="195"/>
      <c r="O74" s="145"/>
      <c r="P74" s="165"/>
      <c r="Q74" s="165"/>
      <c r="R74" s="165"/>
      <c r="S74" s="165"/>
      <c r="T74" s="165"/>
      <c r="U74" s="198"/>
      <c r="V74" s="199"/>
      <c r="W74" s="200"/>
      <c r="X74" s="201"/>
      <c r="Y74" s="199"/>
    </row>
    <row r="75" spans="1:25" ht="17.25" thickBot="1">
      <c r="A75" s="856"/>
      <c r="B75" s="851" t="s">
        <v>208</v>
      </c>
      <c r="C75" s="852"/>
      <c r="D75" s="194"/>
      <c r="E75" s="851" t="s">
        <v>209</v>
      </c>
      <c r="F75" s="852"/>
      <c r="G75" s="157"/>
      <c r="H75" s="194"/>
      <c r="I75" s="194"/>
      <c r="J75" s="197"/>
      <c r="K75" s="196"/>
      <c r="L75" s="205"/>
      <c r="M75" s="205"/>
      <c r="N75" s="196"/>
      <c r="O75" s="145"/>
      <c r="P75" s="145"/>
      <c r="Q75" s="145"/>
      <c r="R75" s="145"/>
      <c r="S75" s="145"/>
      <c r="T75" s="145"/>
      <c r="U75" s="145"/>
      <c r="V75" s="145"/>
    </row>
    <row r="76" spans="1:25" hidden="1">
      <c r="A76" s="856"/>
      <c r="B76" s="194"/>
      <c r="C76" s="194"/>
      <c r="D76" s="194"/>
      <c r="E76" s="194"/>
      <c r="F76" s="194"/>
      <c r="G76" s="157"/>
      <c r="H76" s="194"/>
      <c r="I76" s="194"/>
      <c r="J76" s="194"/>
      <c r="K76" s="165"/>
      <c r="L76" s="165"/>
      <c r="M76" s="165"/>
      <c r="N76" s="165"/>
      <c r="O76" s="145"/>
      <c r="P76" s="165"/>
      <c r="Q76" s="165"/>
      <c r="R76" s="165"/>
      <c r="S76" s="165"/>
      <c r="T76" s="165"/>
      <c r="U76" s="145"/>
      <c r="V76" s="145"/>
    </row>
    <row r="77" spans="1:25">
      <c r="A77" s="427"/>
      <c r="B77" s="194"/>
      <c r="C77" s="194"/>
      <c r="D77" s="194"/>
      <c r="E77" s="194"/>
      <c r="F77" s="194"/>
      <c r="G77" s="157"/>
      <c r="H77" s="194"/>
      <c r="I77" s="194"/>
      <c r="J77" s="194"/>
      <c r="K77" s="165"/>
      <c r="L77" s="165"/>
      <c r="M77" s="165"/>
      <c r="N77" s="165"/>
      <c r="O77" s="145"/>
      <c r="P77" s="165"/>
      <c r="Q77" s="165"/>
      <c r="R77" s="165"/>
      <c r="S77" s="165"/>
      <c r="T77" s="165"/>
      <c r="U77" s="145"/>
      <c r="V77" s="145"/>
    </row>
    <row r="78" spans="1:25" s="209" customFormat="1">
      <c r="A78" s="206"/>
      <c r="B78" s="203" t="s">
        <v>152</v>
      </c>
      <c r="C78" s="204">
        <f>V26*L73</f>
        <v>501.81164907204067</v>
      </c>
      <c r="D78" s="203"/>
      <c r="E78" s="203" t="s">
        <v>153</v>
      </c>
      <c r="F78" s="204">
        <f>D26*L73</f>
        <v>1.3312122745428692</v>
      </c>
      <c r="G78" s="157"/>
      <c r="H78" s="208"/>
      <c r="I78" s="208"/>
      <c r="J78" s="208"/>
      <c r="O78" s="149"/>
      <c r="U78" s="149"/>
      <c r="V78" s="149"/>
    </row>
    <row r="79" spans="1:25" s="209" customFormat="1">
      <c r="A79" s="206"/>
      <c r="B79" s="203" t="s">
        <v>154</v>
      </c>
      <c r="C79" s="204">
        <f>V26*M73</f>
        <v>588.53491575932787</v>
      </c>
      <c r="D79" s="203"/>
      <c r="E79" s="203" t="s">
        <v>155</v>
      </c>
      <c r="F79" s="204">
        <f>D26*M73</f>
        <v>1.561272850689434</v>
      </c>
      <c r="G79" s="157"/>
      <c r="H79" s="208"/>
      <c r="I79" s="208"/>
      <c r="J79" s="208"/>
      <c r="K79" s="247"/>
      <c r="L79" s="149"/>
      <c r="M79" s="149"/>
      <c r="N79" s="149"/>
      <c r="O79" s="149"/>
      <c r="U79" s="149"/>
      <c r="V79" s="149"/>
    </row>
    <row r="80" spans="1:25" s="209" customFormat="1" hidden="1">
      <c r="A80" s="206"/>
      <c r="B80" s="212"/>
      <c r="C80" s="213"/>
      <c r="D80" s="212"/>
      <c r="E80" s="212"/>
      <c r="F80" s="213"/>
      <c r="G80" s="157"/>
      <c r="H80" s="208"/>
      <c r="I80" s="208"/>
      <c r="J80" s="208"/>
      <c r="K80" s="149"/>
      <c r="L80" s="149"/>
      <c r="M80" s="149"/>
      <c r="N80" s="149"/>
      <c r="O80" s="149"/>
      <c r="U80" s="149"/>
      <c r="V80" s="149"/>
    </row>
    <row r="81" spans="1:22" s="209" customFormat="1">
      <c r="A81" s="206"/>
      <c r="B81" s="212"/>
      <c r="C81" s="213"/>
      <c r="D81" s="212"/>
      <c r="E81" s="212"/>
      <c r="F81" s="213"/>
      <c r="G81" s="157"/>
      <c r="H81" s="208"/>
      <c r="I81" s="208"/>
      <c r="J81" s="208"/>
      <c r="K81" s="149"/>
      <c r="L81" s="149"/>
      <c r="M81" s="149"/>
      <c r="N81" s="149"/>
      <c r="O81" s="149"/>
      <c r="U81" s="149"/>
      <c r="V81" s="149"/>
    </row>
    <row r="82" spans="1:22" s="209" customFormat="1">
      <c r="A82" s="206"/>
      <c r="B82" s="457" t="s">
        <v>206</v>
      </c>
      <c r="C82" s="458">
        <f>V36</f>
        <v>115.578</v>
      </c>
      <c r="D82" s="459"/>
      <c r="E82" s="460" t="s">
        <v>153</v>
      </c>
      <c r="F82" s="458">
        <f>D36</f>
        <v>0.5</v>
      </c>
      <c r="G82" s="157"/>
      <c r="H82" s="208"/>
      <c r="I82" s="210"/>
      <c r="J82" s="208"/>
      <c r="K82" s="247"/>
      <c r="L82" s="211"/>
      <c r="M82" s="149"/>
      <c r="N82" s="149"/>
      <c r="O82" s="149"/>
      <c r="U82" s="149"/>
      <c r="V82" s="149"/>
    </row>
    <row r="83" spans="1:22" s="209" customFormat="1">
      <c r="A83" s="206"/>
      <c r="B83" s="457" t="s">
        <v>207</v>
      </c>
      <c r="C83" s="458">
        <f>V37</f>
        <v>887.63904000000002</v>
      </c>
      <c r="D83" s="459"/>
      <c r="E83" s="460" t="s">
        <v>155</v>
      </c>
      <c r="F83" s="458">
        <f>D37</f>
        <v>4</v>
      </c>
      <c r="G83" s="157"/>
      <c r="H83" s="208"/>
      <c r="I83" s="208"/>
      <c r="J83" s="208"/>
      <c r="K83" s="149"/>
      <c r="L83" s="149"/>
      <c r="M83" s="149"/>
      <c r="N83" s="149"/>
      <c r="O83" s="149"/>
      <c r="U83" s="149"/>
      <c r="V83" s="149"/>
    </row>
    <row r="84" spans="1:22" s="209" customFormat="1" hidden="1">
      <c r="A84" s="206"/>
      <c r="B84" s="461"/>
      <c r="C84" s="462"/>
      <c r="D84" s="463"/>
      <c r="E84" s="463"/>
      <c r="F84" s="462"/>
      <c r="G84" s="157"/>
      <c r="H84" s="208"/>
      <c r="I84" s="208"/>
      <c r="J84" s="208"/>
      <c r="K84" s="149"/>
      <c r="L84" s="149"/>
      <c r="M84" s="149"/>
      <c r="N84" s="149"/>
      <c r="O84" s="149"/>
      <c r="U84" s="149"/>
      <c r="V84" s="149"/>
    </row>
    <row r="85" spans="1:22" s="209" customFormat="1">
      <c r="A85" s="206"/>
      <c r="B85" s="461"/>
      <c r="C85" s="462"/>
      <c r="D85" s="463"/>
      <c r="E85" s="463"/>
      <c r="F85" s="462"/>
      <c r="G85" s="157"/>
      <c r="H85" s="208"/>
      <c r="I85" s="208"/>
      <c r="J85" s="208"/>
      <c r="K85" s="149"/>
      <c r="L85" s="149"/>
      <c r="M85" s="149"/>
      <c r="N85" s="149"/>
      <c r="O85" s="149"/>
      <c r="U85" s="149"/>
      <c r="V85" s="149"/>
    </row>
    <row r="86" spans="1:22">
      <c r="A86" s="145"/>
      <c r="B86" s="464" t="s">
        <v>222</v>
      </c>
      <c r="C86" s="465">
        <f>V33*X73</f>
        <v>114.87373982578893</v>
      </c>
      <c r="D86" s="466"/>
      <c r="E86" s="467" t="s">
        <v>153</v>
      </c>
      <c r="F86" s="465">
        <f>D33*X73</f>
        <v>0.46023132943024414</v>
      </c>
      <c r="G86" s="157"/>
      <c r="H86" s="194"/>
      <c r="I86" s="194"/>
      <c r="J86" s="194"/>
      <c r="K86" s="145"/>
      <c r="L86" s="145"/>
      <c r="M86" s="145"/>
      <c r="N86" s="145"/>
      <c r="O86" s="145"/>
      <c r="P86" s="165"/>
      <c r="Q86" s="165"/>
      <c r="R86" s="165"/>
      <c r="S86" s="165"/>
      <c r="T86" s="165"/>
      <c r="U86" s="145"/>
      <c r="V86" s="145"/>
    </row>
    <row r="87" spans="1:22" ht="15.75">
      <c r="A87" s="149"/>
      <c r="B87" s="464" t="s">
        <v>223</v>
      </c>
      <c r="C87" s="465">
        <f>V33*Y73</f>
        <v>134.72626017421106</v>
      </c>
      <c r="D87" s="466"/>
      <c r="E87" s="467" t="s">
        <v>155</v>
      </c>
      <c r="F87" s="465">
        <f>D33*Y73</f>
        <v>0.53976867056975586</v>
      </c>
      <c r="G87" s="157"/>
      <c r="H87" s="149"/>
      <c r="I87" s="145"/>
      <c r="J87" s="216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</row>
    <row r="88" spans="1:22">
      <c r="A88" s="149"/>
      <c r="B88" s="145"/>
      <c r="C88" s="145"/>
      <c r="D88" s="145"/>
      <c r="E88" s="145"/>
      <c r="F88" s="145"/>
      <c r="G88" s="217"/>
      <c r="H88" s="149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</row>
    <row r="89" spans="1:22" ht="26.25">
      <c r="A89" s="149"/>
      <c r="B89" s="214"/>
      <c r="C89" s="217"/>
      <c r="D89" s="215"/>
      <c r="E89" s="207"/>
      <c r="F89" s="217"/>
      <c r="G89" s="217"/>
      <c r="H89" s="149"/>
      <c r="I89" s="218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</row>
    <row r="90" spans="1:22">
      <c r="A90" s="219"/>
      <c r="B90" s="209"/>
      <c r="C90" s="220"/>
      <c r="D90" s="220"/>
      <c r="E90" s="220"/>
      <c r="F90" s="220"/>
      <c r="G90" s="220"/>
      <c r="H90" s="220"/>
    </row>
    <row r="91" spans="1:22" s="223" customFormat="1">
      <c r="A91" s="222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</row>
    <row r="92" spans="1:22" s="223" customFormat="1">
      <c r="A92" s="225"/>
      <c r="B92" s="225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</row>
    <row r="93" spans="1:22" s="223" customFormat="1">
      <c r="A93" s="227"/>
      <c r="B93" s="228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</row>
    <row r="94" spans="1:22" s="223" customFormat="1">
      <c r="A94" s="227"/>
      <c r="B94" s="228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</row>
    <row r="95" spans="1:22" s="223" customFormat="1">
      <c r="A95" s="227"/>
      <c r="B95" s="228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</row>
    <row r="96" spans="1:22" s="223" customFormat="1">
      <c r="A96" s="227"/>
      <c r="B96" s="228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</row>
    <row r="97" spans="1:21" s="223" customFormat="1">
      <c r="A97" s="227"/>
      <c r="B97" s="228"/>
      <c r="C97" s="226"/>
      <c r="D97" s="229"/>
      <c r="E97" s="229"/>
      <c r="F97" s="229"/>
      <c r="G97" s="229"/>
      <c r="H97" s="229"/>
      <c r="I97" s="230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</row>
    <row r="98" spans="1:21" s="223" customFormat="1">
      <c r="A98" s="227"/>
      <c r="B98" s="231"/>
      <c r="C98" s="231"/>
      <c r="D98" s="232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26"/>
      <c r="U98" s="226"/>
    </row>
    <row r="99" spans="1:21" s="223" customFormat="1">
      <c r="A99" s="227"/>
      <c r="B99" s="231"/>
      <c r="C99" s="231"/>
      <c r="D99" s="232"/>
      <c r="E99" s="233"/>
      <c r="F99" s="233"/>
      <c r="G99" s="233"/>
      <c r="H99" s="233"/>
      <c r="I99" s="233"/>
      <c r="J99" s="232"/>
      <c r="K99" s="233"/>
      <c r="L99" s="233"/>
      <c r="M99" s="233"/>
      <c r="N99" s="233"/>
      <c r="O99" s="224"/>
      <c r="P99" s="233"/>
      <c r="Q99" s="224"/>
      <c r="R99" s="232"/>
      <c r="S99" s="224"/>
      <c r="T99" s="226"/>
      <c r="U99" s="226"/>
    </row>
    <row r="100" spans="1:21" s="223" customFormat="1">
      <c r="A100" s="228"/>
      <c r="B100" s="228"/>
      <c r="C100" s="226"/>
      <c r="D100" s="226"/>
      <c r="E100" s="234"/>
      <c r="F100" s="226"/>
      <c r="G100" s="226"/>
      <c r="H100" s="235"/>
      <c r="I100" s="235"/>
      <c r="J100" s="235"/>
      <c r="K100" s="226"/>
      <c r="L100" s="226"/>
      <c r="M100" s="226"/>
      <c r="N100" s="226"/>
      <c r="O100" s="224"/>
      <c r="P100" s="235"/>
      <c r="Q100" s="224"/>
      <c r="R100" s="235"/>
      <c r="S100" s="224"/>
      <c r="T100" s="226"/>
      <c r="U100" s="226"/>
    </row>
    <row r="101" spans="1:21" s="223" customFormat="1">
      <c r="A101" s="228"/>
      <c r="C101" s="226"/>
      <c r="D101" s="226"/>
      <c r="E101" s="234"/>
      <c r="F101" s="226"/>
      <c r="G101" s="226"/>
      <c r="H101" s="235"/>
      <c r="I101" s="235"/>
      <c r="J101" s="235"/>
      <c r="K101" s="226"/>
      <c r="L101" s="226"/>
      <c r="M101" s="226"/>
      <c r="N101" s="226"/>
      <c r="O101" s="224"/>
      <c r="P101" s="235"/>
      <c r="Q101" s="224"/>
      <c r="R101" s="235"/>
      <c r="S101" s="224"/>
      <c r="T101" s="226"/>
      <c r="U101" s="226"/>
    </row>
    <row r="102" spans="1:21" s="223" customFormat="1">
      <c r="A102" s="228"/>
      <c r="C102" s="226"/>
      <c r="D102" s="226"/>
      <c r="E102" s="234"/>
      <c r="F102" s="226"/>
      <c r="G102" s="226"/>
      <c r="H102" s="235"/>
      <c r="I102" s="235"/>
      <c r="J102" s="235"/>
      <c r="K102" s="226"/>
      <c r="L102" s="226"/>
      <c r="M102" s="226"/>
      <c r="N102" s="226"/>
      <c r="O102" s="224"/>
      <c r="P102" s="235"/>
      <c r="Q102" s="224"/>
      <c r="R102" s="235"/>
      <c r="S102" s="224"/>
      <c r="T102" s="226"/>
      <c r="U102" s="226"/>
    </row>
    <row r="103" spans="1:21" s="223" customFormat="1">
      <c r="A103" s="228"/>
      <c r="C103" s="226"/>
      <c r="D103" s="226"/>
      <c r="E103" s="234"/>
      <c r="F103" s="226"/>
      <c r="G103" s="226"/>
      <c r="H103" s="235"/>
      <c r="I103" s="235"/>
      <c r="J103" s="235"/>
      <c r="K103" s="226"/>
      <c r="L103" s="226"/>
      <c r="M103" s="226"/>
      <c r="N103" s="226"/>
      <c r="O103" s="224"/>
      <c r="P103" s="235"/>
      <c r="Q103" s="224"/>
      <c r="R103" s="235"/>
      <c r="S103" s="224"/>
      <c r="T103" s="230"/>
      <c r="U103" s="230"/>
    </row>
    <row r="104" spans="1:21" s="223" customFormat="1">
      <c r="A104" s="228"/>
      <c r="C104" s="226"/>
      <c r="D104" s="226"/>
      <c r="E104" s="234"/>
      <c r="F104" s="226"/>
      <c r="G104" s="226"/>
      <c r="H104" s="235"/>
      <c r="I104" s="235"/>
      <c r="J104" s="235"/>
      <c r="K104" s="226"/>
      <c r="L104" s="226"/>
      <c r="M104" s="226"/>
      <c r="N104" s="226"/>
      <c r="O104" s="224"/>
      <c r="P104" s="235"/>
      <c r="Q104" s="224"/>
      <c r="R104" s="235"/>
      <c r="S104" s="224"/>
      <c r="T104" s="236"/>
      <c r="U104" s="236"/>
    </row>
    <row r="105" spans="1:21" s="223" customFormat="1">
      <c r="A105" s="237"/>
      <c r="B105" s="237"/>
      <c r="C105" s="230"/>
      <c r="D105" s="230"/>
      <c r="E105" s="234"/>
      <c r="F105" s="230"/>
      <c r="G105" s="230"/>
      <c r="H105" s="230"/>
      <c r="I105" s="230"/>
      <c r="J105" s="236"/>
      <c r="K105" s="230"/>
      <c r="L105" s="230"/>
      <c r="M105" s="230"/>
      <c r="N105" s="230"/>
      <c r="O105" s="224"/>
      <c r="P105" s="230"/>
      <c r="Q105" s="224"/>
      <c r="R105" s="236"/>
      <c r="S105" s="224"/>
      <c r="T105" s="236"/>
      <c r="U105" s="236"/>
    </row>
    <row r="106" spans="1:21" s="223" customFormat="1">
      <c r="A106" s="237"/>
      <c r="B106" s="237"/>
      <c r="C106" s="230"/>
      <c r="D106" s="230"/>
      <c r="E106" s="234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6"/>
      <c r="R106" s="236"/>
      <c r="S106" s="230"/>
      <c r="T106" s="236"/>
      <c r="U106" s="236"/>
    </row>
    <row r="107" spans="1:21" s="223" customFormat="1">
      <c r="A107" s="228"/>
      <c r="B107" s="238"/>
      <c r="C107" s="226"/>
      <c r="D107" s="230"/>
      <c r="E107" s="229"/>
      <c r="F107" s="229"/>
      <c r="G107" s="229"/>
      <c r="H107" s="229"/>
      <c r="I107" s="229"/>
      <c r="J107" s="229"/>
      <c r="K107" s="230"/>
      <c r="L107" s="230"/>
      <c r="M107" s="230"/>
      <c r="N107" s="230"/>
      <c r="O107" s="226"/>
      <c r="P107" s="226"/>
      <c r="Q107" s="226"/>
      <c r="R107" s="226"/>
      <c r="S107" s="226"/>
      <c r="T107" s="236"/>
      <c r="U107" s="236"/>
    </row>
    <row r="108" spans="1:21" s="223" customFormat="1">
      <c r="A108" s="228"/>
      <c r="B108" s="239"/>
      <c r="C108" s="226"/>
      <c r="D108" s="240"/>
      <c r="E108" s="233"/>
      <c r="F108" s="233"/>
      <c r="G108" s="233"/>
      <c r="H108" s="233"/>
      <c r="I108" s="233"/>
      <c r="J108" s="232"/>
      <c r="K108" s="233"/>
      <c r="L108" s="233"/>
      <c r="M108" s="233"/>
      <c r="N108" s="233"/>
      <c r="O108" s="226"/>
      <c r="P108" s="226"/>
      <c r="Q108" s="226"/>
      <c r="R108" s="226"/>
      <c r="S108" s="226"/>
      <c r="T108" s="236"/>
      <c r="U108" s="236"/>
    </row>
    <row r="109" spans="1:21" s="223" customFormat="1">
      <c r="A109" s="228"/>
      <c r="C109" s="226"/>
      <c r="D109" s="226"/>
      <c r="E109" s="235"/>
      <c r="F109" s="226"/>
      <c r="G109" s="226"/>
      <c r="H109" s="235"/>
      <c r="I109" s="235"/>
      <c r="J109" s="235"/>
      <c r="K109" s="235"/>
      <c r="L109" s="235"/>
      <c r="M109" s="235"/>
      <c r="N109" s="235"/>
      <c r="O109" s="226"/>
      <c r="P109" s="226"/>
      <c r="Q109" s="235"/>
      <c r="R109" s="235"/>
      <c r="S109" s="235"/>
      <c r="T109" s="235"/>
      <c r="U109" s="235"/>
    </row>
    <row r="110" spans="1:21" s="223" customFormat="1">
      <c r="A110" s="228"/>
      <c r="C110" s="226"/>
      <c r="D110" s="226"/>
      <c r="E110" s="235"/>
      <c r="F110" s="226"/>
      <c r="G110" s="226"/>
      <c r="H110" s="235"/>
      <c r="I110" s="235"/>
      <c r="J110" s="235"/>
      <c r="K110" s="235"/>
      <c r="L110" s="235"/>
      <c r="M110" s="235"/>
      <c r="N110" s="235"/>
      <c r="O110" s="226"/>
      <c r="P110" s="226"/>
      <c r="Q110" s="235"/>
      <c r="R110" s="235"/>
      <c r="S110" s="235"/>
      <c r="T110" s="235"/>
      <c r="U110" s="235"/>
    </row>
    <row r="111" spans="1:21" s="223" customFormat="1">
      <c r="A111" s="228"/>
      <c r="B111" s="239"/>
      <c r="C111" s="226"/>
      <c r="D111" s="226"/>
      <c r="E111" s="235"/>
      <c r="F111" s="226"/>
      <c r="G111" s="226"/>
      <c r="H111" s="235"/>
      <c r="I111" s="235"/>
      <c r="J111" s="235"/>
      <c r="K111" s="235"/>
      <c r="L111" s="235"/>
      <c r="M111" s="235"/>
      <c r="N111" s="235"/>
      <c r="O111" s="226"/>
      <c r="P111" s="226"/>
      <c r="Q111" s="235"/>
      <c r="R111" s="235"/>
      <c r="S111" s="235"/>
      <c r="T111" s="235"/>
      <c r="U111" s="235"/>
    </row>
    <row r="112" spans="1:21" s="223" customFormat="1">
      <c r="A112" s="228"/>
      <c r="C112" s="226"/>
      <c r="D112" s="226"/>
      <c r="E112" s="235"/>
      <c r="F112" s="226"/>
      <c r="G112" s="226"/>
      <c r="H112" s="235"/>
      <c r="I112" s="235"/>
      <c r="J112" s="235"/>
      <c r="K112" s="235"/>
      <c r="L112" s="235"/>
      <c r="M112" s="235"/>
      <c r="N112" s="235"/>
      <c r="O112" s="226"/>
      <c r="P112" s="226"/>
      <c r="Q112" s="235"/>
      <c r="R112" s="235"/>
      <c r="S112" s="235"/>
      <c r="T112" s="235"/>
      <c r="U112" s="235"/>
    </row>
    <row r="113" spans="1:21" s="223" customFormat="1">
      <c r="A113" s="228"/>
      <c r="C113" s="226"/>
      <c r="D113" s="226"/>
      <c r="E113" s="235"/>
      <c r="F113" s="226"/>
      <c r="G113" s="226"/>
      <c r="H113" s="235"/>
      <c r="I113" s="235"/>
      <c r="J113" s="235"/>
      <c r="K113" s="235"/>
      <c r="L113" s="235"/>
      <c r="M113" s="235"/>
      <c r="N113" s="235"/>
      <c r="O113" s="226"/>
      <c r="P113" s="226"/>
      <c r="Q113" s="235"/>
      <c r="R113" s="235"/>
      <c r="S113" s="235"/>
      <c r="T113" s="235"/>
      <c r="U113" s="235"/>
    </row>
    <row r="114" spans="1:21" s="223" customFormat="1">
      <c r="A114" s="228"/>
      <c r="B114" s="239"/>
      <c r="C114" s="226"/>
      <c r="D114" s="226"/>
      <c r="E114" s="235"/>
      <c r="F114" s="226"/>
      <c r="G114" s="226"/>
      <c r="H114" s="235"/>
      <c r="I114" s="235"/>
      <c r="J114" s="235"/>
      <c r="K114" s="235"/>
      <c r="L114" s="235"/>
      <c r="M114" s="235"/>
      <c r="N114" s="235"/>
      <c r="O114" s="226"/>
      <c r="P114" s="226"/>
      <c r="Q114" s="235"/>
      <c r="R114" s="235"/>
      <c r="S114" s="235"/>
      <c r="T114" s="235"/>
      <c r="U114" s="235"/>
    </row>
    <row r="115" spans="1:21" s="223" customFormat="1">
      <c r="A115" s="228"/>
      <c r="C115" s="226"/>
      <c r="D115" s="226"/>
      <c r="E115" s="235"/>
      <c r="F115" s="226"/>
      <c r="G115" s="226"/>
      <c r="H115" s="235"/>
      <c r="I115" s="235"/>
      <c r="J115" s="235"/>
      <c r="K115" s="235"/>
      <c r="L115" s="235"/>
      <c r="M115" s="235"/>
      <c r="N115" s="235"/>
      <c r="O115" s="226"/>
      <c r="P115" s="226"/>
      <c r="Q115" s="235"/>
      <c r="R115" s="235"/>
      <c r="S115" s="235"/>
      <c r="T115" s="235"/>
      <c r="U115" s="235"/>
    </row>
    <row r="116" spans="1:21" s="223" customFormat="1">
      <c r="A116" s="228"/>
      <c r="C116" s="226"/>
      <c r="D116" s="226"/>
      <c r="E116" s="235"/>
      <c r="F116" s="226"/>
      <c r="G116" s="226"/>
      <c r="H116" s="235"/>
      <c r="I116" s="235"/>
      <c r="J116" s="235"/>
      <c r="K116" s="235"/>
      <c r="L116" s="235"/>
      <c r="M116" s="235"/>
      <c r="N116" s="235"/>
      <c r="O116" s="226"/>
      <c r="P116" s="226"/>
      <c r="Q116" s="235"/>
      <c r="R116" s="235"/>
      <c r="S116" s="235"/>
      <c r="T116" s="235"/>
      <c r="U116" s="235"/>
    </row>
    <row r="117" spans="1:21" s="223" customFormat="1">
      <c r="A117" s="228"/>
      <c r="C117" s="226"/>
      <c r="D117" s="226"/>
      <c r="E117" s="235"/>
      <c r="F117" s="226"/>
      <c r="G117" s="226"/>
      <c r="H117" s="235"/>
      <c r="I117" s="235"/>
      <c r="J117" s="235"/>
      <c r="K117" s="235"/>
      <c r="L117" s="235"/>
      <c r="M117" s="235"/>
      <c r="N117" s="235"/>
      <c r="O117" s="226"/>
      <c r="P117" s="226"/>
      <c r="Q117" s="235"/>
      <c r="R117" s="235"/>
      <c r="S117" s="235"/>
      <c r="T117" s="235"/>
      <c r="U117" s="235"/>
    </row>
    <row r="118" spans="1:21" s="223" customFormat="1">
      <c r="A118" s="228"/>
      <c r="C118" s="226"/>
      <c r="D118" s="240"/>
      <c r="E118" s="235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35"/>
      <c r="R118" s="235"/>
      <c r="S118" s="235"/>
      <c r="T118" s="235"/>
      <c r="U118" s="235"/>
    </row>
    <row r="119" spans="1:21" s="223" customFormat="1">
      <c r="A119" s="228"/>
      <c r="C119" s="226"/>
      <c r="D119" s="240"/>
      <c r="E119" s="235"/>
      <c r="F119" s="226"/>
      <c r="G119" s="226"/>
      <c r="H119" s="226"/>
      <c r="I119" s="226"/>
      <c r="J119" s="226"/>
      <c r="K119" s="235"/>
      <c r="L119" s="235"/>
      <c r="M119" s="235"/>
      <c r="N119" s="235"/>
      <c r="O119" s="226"/>
      <c r="P119" s="226"/>
      <c r="Q119" s="235"/>
      <c r="R119" s="235"/>
      <c r="S119" s="235"/>
      <c r="T119" s="235"/>
      <c r="U119" s="235"/>
    </row>
    <row r="120" spans="1:21" s="223" customFormat="1">
      <c r="A120" s="222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</row>
    <row r="121" spans="1:21" s="223" customFormat="1">
      <c r="A121" s="222"/>
      <c r="B121" s="239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</row>
    <row r="122" spans="1:21" s="223" customFormat="1">
      <c r="A122" s="222"/>
      <c r="C122" s="224"/>
      <c r="D122" s="224"/>
      <c r="E122" s="224"/>
      <c r="F122" s="224"/>
      <c r="G122" s="224"/>
      <c r="H122" s="224"/>
      <c r="I122" s="241"/>
      <c r="J122" s="241"/>
      <c r="K122" s="242"/>
      <c r="L122" s="242"/>
      <c r="M122" s="242"/>
      <c r="N122" s="242"/>
      <c r="O122" s="224"/>
      <c r="P122" s="224"/>
      <c r="Q122" s="224"/>
      <c r="R122" s="224"/>
      <c r="S122" s="224"/>
      <c r="T122" s="224"/>
      <c r="U122" s="224"/>
    </row>
    <row r="123" spans="1:21" s="223" customFormat="1">
      <c r="A123" s="222"/>
      <c r="C123" s="224"/>
      <c r="D123" s="224"/>
      <c r="E123" s="224"/>
      <c r="F123" s="224"/>
      <c r="G123" s="224"/>
      <c r="H123" s="224"/>
      <c r="I123" s="241"/>
      <c r="J123" s="224"/>
      <c r="K123" s="241"/>
      <c r="L123" s="241"/>
      <c r="M123" s="241"/>
      <c r="N123" s="241"/>
      <c r="O123" s="243"/>
      <c r="P123" s="224"/>
      <c r="Q123" s="224"/>
      <c r="R123" s="224"/>
      <c r="S123" s="224"/>
      <c r="T123" s="224"/>
      <c r="U123" s="224"/>
    </row>
    <row r="124" spans="1:21" s="223" customFormat="1">
      <c r="A124" s="222"/>
      <c r="C124" s="224"/>
      <c r="D124" s="224"/>
      <c r="E124" s="224"/>
      <c r="F124" s="224"/>
      <c r="G124" s="224"/>
      <c r="H124" s="224"/>
      <c r="I124" s="224"/>
      <c r="J124" s="224"/>
      <c r="K124" s="242"/>
      <c r="L124" s="242"/>
      <c r="M124" s="242"/>
      <c r="N124" s="242"/>
      <c r="O124" s="224"/>
      <c r="P124" s="224"/>
      <c r="Q124" s="224"/>
      <c r="R124" s="224"/>
      <c r="S124" s="224"/>
      <c r="T124" s="224"/>
      <c r="U124" s="224"/>
    </row>
    <row r="125" spans="1:21" s="223" customFormat="1">
      <c r="A125" s="222"/>
      <c r="B125" s="239"/>
      <c r="C125" s="241"/>
      <c r="D125" s="224"/>
      <c r="E125" s="224"/>
      <c r="F125" s="224"/>
      <c r="G125" s="224"/>
      <c r="H125" s="224"/>
      <c r="I125" s="241"/>
      <c r="J125" s="243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</row>
    <row r="126" spans="1:21" s="223" customFormat="1">
      <c r="A126" s="222"/>
      <c r="C126" s="224"/>
      <c r="D126" s="224"/>
      <c r="E126" s="224"/>
      <c r="F126" s="224"/>
      <c r="G126" s="224"/>
      <c r="H126" s="224"/>
      <c r="I126" s="242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</row>
    <row r="127" spans="1:21" s="223" customFormat="1">
      <c r="A127" s="222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</row>
    <row r="128" spans="1:21" s="223" customFormat="1">
      <c r="A128" s="222"/>
      <c r="B128" s="239"/>
      <c r="C128" s="241"/>
      <c r="D128" s="241"/>
      <c r="E128" s="241"/>
      <c r="F128" s="224"/>
      <c r="G128" s="224"/>
      <c r="H128" s="224"/>
      <c r="I128" s="241"/>
      <c r="J128" s="241"/>
      <c r="K128" s="241"/>
      <c r="L128" s="241"/>
      <c r="M128" s="241"/>
      <c r="N128" s="241"/>
      <c r="O128" s="224"/>
      <c r="P128" s="224"/>
      <c r="Q128" s="224"/>
      <c r="R128" s="224"/>
      <c r="S128" s="224"/>
      <c r="T128" s="224"/>
      <c r="U128" s="224"/>
    </row>
    <row r="129" spans="1:21" s="223" customFormat="1">
      <c r="A129" s="222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</row>
    <row r="130" spans="1:21" s="223" customFormat="1">
      <c r="A130" s="222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</row>
    <row r="131" spans="1:21" s="223" customFormat="1">
      <c r="A131" s="222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</row>
    <row r="132" spans="1:21" s="223" customFormat="1">
      <c r="A132" s="222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</row>
    <row r="133" spans="1:21" s="223" customFormat="1">
      <c r="A133" s="222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</row>
    <row r="134" spans="1:21" s="223" customFormat="1">
      <c r="A134" s="222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</row>
    <row r="135" spans="1:21" s="223" customFormat="1">
      <c r="A135" s="222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</row>
    <row r="136" spans="1:21" s="223" customFormat="1">
      <c r="A136" s="222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</row>
    <row r="137" spans="1:21" s="223" customFormat="1">
      <c r="A137" s="222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</row>
    <row r="138" spans="1:21" s="223" customFormat="1">
      <c r="A138" s="222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</row>
    <row r="139" spans="1:21" s="223" customFormat="1">
      <c r="A139" s="222"/>
      <c r="B139" s="239"/>
      <c r="C139" s="241"/>
      <c r="D139" s="224"/>
      <c r="E139" s="224"/>
      <c r="F139" s="224"/>
      <c r="G139" s="224"/>
      <c r="H139" s="241"/>
      <c r="I139" s="241"/>
      <c r="J139" s="224"/>
      <c r="K139" s="224"/>
      <c r="L139" s="224"/>
      <c r="M139" s="224"/>
      <c r="N139" s="224"/>
      <c r="O139" s="224"/>
      <c r="P139" s="241"/>
      <c r="Q139" s="224"/>
      <c r="R139" s="224"/>
      <c r="S139" s="224"/>
      <c r="T139" s="224"/>
      <c r="U139" s="224"/>
    </row>
    <row r="140" spans="1:21" s="223" customFormat="1">
      <c r="A140" s="222"/>
      <c r="C140" s="224"/>
      <c r="D140" s="224"/>
      <c r="E140" s="224"/>
      <c r="F140" s="224"/>
      <c r="G140" s="224"/>
      <c r="H140" s="244"/>
      <c r="I140" s="245"/>
      <c r="J140" s="224"/>
      <c r="K140" s="224"/>
      <c r="L140" s="224"/>
      <c r="M140" s="224"/>
      <c r="N140" s="224"/>
      <c r="O140" s="224"/>
      <c r="P140" s="224"/>
      <c r="Q140" s="224"/>
      <c r="R140" s="243"/>
      <c r="S140" s="224"/>
      <c r="T140" s="224"/>
      <c r="U140" s="224"/>
    </row>
    <row r="141" spans="1:21" s="223" customFormat="1">
      <c r="A141" s="222"/>
      <c r="C141" s="224"/>
      <c r="D141" s="224"/>
      <c r="E141" s="224"/>
      <c r="F141" s="224"/>
      <c r="G141" s="224"/>
      <c r="H141" s="241"/>
      <c r="I141" s="244"/>
      <c r="J141" s="224"/>
      <c r="K141" s="224"/>
      <c r="L141" s="224"/>
      <c r="M141" s="224"/>
      <c r="N141" s="224"/>
      <c r="O141" s="224"/>
      <c r="P141" s="224"/>
      <c r="Q141" s="224"/>
      <c r="R141" s="243"/>
      <c r="S141" s="224"/>
      <c r="T141" s="224"/>
      <c r="U141" s="224"/>
    </row>
    <row r="142" spans="1:21" s="223" customFormat="1">
      <c r="A142" s="222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</row>
    <row r="143" spans="1:21" s="223" customFormat="1">
      <c r="A143" s="222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</row>
    <row r="144" spans="1:21" s="223" customFormat="1">
      <c r="A144" s="222"/>
      <c r="B144" s="239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</row>
    <row r="145" spans="1:21" s="223" customFormat="1">
      <c r="A145" s="222"/>
      <c r="C145" s="241"/>
      <c r="D145" s="241"/>
      <c r="E145" s="241"/>
      <c r="F145" s="241"/>
      <c r="G145" s="241"/>
      <c r="H145" s="241"/>
      <c r="I145" s="241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</row>
    <row r="146" spans="1:21" s="223" customFormat="1">
      <c r="A146" s="222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</row>
    <row r="147" spans="1:21" s="223" customFormat="1">
      <c r="A147" s="222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</row>
    <row r="148" spans="1:21" s="223" customFormat="1">
      <c r="A148" s="222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</row>
    <row r="149" spans="1:21" s="223" customFormat="1">
      <c r="A149" s="222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</row>
  </sheetData>
  <mergeCells count="29">
    <mergeCell ref="A75:A76"/>
    <mergeCell ref="A45:U45"/>
    <mergeCell ref="A55:U55"/>
    <mergeCell ref="B71:F71"/>
    <mergeCell ref="B75:C75"/>
    <mergeCell ref="E75:F75"/>
    <mergeCell ref="N72:N73"/>
    <mergeCell ref="J1:J2"/>
    <mergeCell ref="L2:M2"/>
    <mergeCell ref="A63:U63"/>
    <mergeCell ref="U1:U2"/>
    <mergeCell ref="K1:K2"/>
    <mergeCell ref="L1:O1"/>
    <mergeCell ref="A50:U50"/>
    <mergeCell ref="E1:E2"/>
    <mergeCell ref="F1:F2"/>
    <mergeCell ref="H1:H2"/>
    <mergeCell ref="I1:I2"/>
    <mergeCell ref="A40:U40"/>
    <mergeCell ref="V1:V2"/>
    <mergeCell ref="A3:U3"/>
    <mergeCell ref="A28:U28"/>
    <mergeCell ref="A35:U35"/>
    <mergeCell ref="G1:G2"/>
    <mergeCell ref="T1:T2"/>
    <mergeCell ref="A1:A2"/>
    <mergeCell ref="B1:B2"/>
    <mergeCell ref="C1:C2"/>
    <mergeCell ref="D1:D2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9"/>
  <sheetViews>
    <sheetView topLeftCell="A13" workbookViewId="0">
      <selection activeCell="G19" sqref="G19"/>
    </sheetView>
  </sheetViews>
  <sheetFormatPr defaultRowHeight="15"/>
  <cols>
    <col min="2" max="2" width="18.85546875" customWidth="1"/>
    <col min="5" max="5" width="11.5703125" bestFit="1" customWidth="1"/>
    <col min="6" max="7" width="11.5703125" customWidth="1"/>
    <col min="8" max="8" width="15.85546875" customWidth="1"/>
    <col min="9" max="9" width="13.42578125" customWidth="1"/>
    <col min="10" max="10" width="11.5703125" bestFit="1" customWidth="1"/>
    <col min="12" max="12" width="26" customWidth="1"/>
    <col min="15" max="15" width="11.5703125" bestFit="1" customWidth="1"/>
  </cols>
  <sheetData>
    <row r="2" spans="2:16"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2:16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2:16" ht="18.75" customHeight="1">
      <c r="B4" s="537" t="s">
        <v>232</v>
      </c>
      <c r="C4" s="537"/>
      <c r="D4" s="537"/>
      <c r="E4" s="537"/>
      <c r="F4" s="537"/>
      <c r="G4" s="537"/>
      <c r="H4" s="537"/>
      <c r="I4" s="537"/>
      <c r="J4" s="537"/>
      <c r="K4" s="537"/>
      <c r="L4" s="221"/>
      <c r="M4" s="221"/>
      <c r="N4" s="221"/>
      <c r="O4" s="221"/>
      <c r="P4" s="221"/>
    </row>
    <row r="5" spans="2:16"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2:16" ht="30" customHeight="1" thickBot="1">
      <c r="B6" s="223"/>
      <c r="C6" s="223"/>
      <c r="D6" s="223"/>
      <c r="E6" s="223"/>
      <c r="F6" s="224"/>
      <c r="K6" s="221"/>
      <c r="P6" s="221"/>
    </row>
    <row r="7" spans="2:16" ht="15.75" thickBot="1">
      <c r="B7" s="857" t="s">
        <v>197</v>
      </c>
      <c r="C7" s="858"/>
      <c r="D7" s="858"/>
      <c r="E7" s="859"/>
      <c r="F7" s="221"/>
      <c r="H7" s="860" t="s">
        <v>276</v>
      </c>
      <c r="I7" s="860"/>
      <c r="J7" s="530"/>
      <c r="K7" s="221"/>
      <c r="P7" s="221"/>
    </row>
    <row r="8" spans="2:16" ht="30">
      <c r="B8" s="221"/>
      <c r="C8" s="221"/>
      <c r="D8" s="221"/>
      <c r="E8" s="221"/>
      <c r="F8" s="221"/>
      <c r="H8" s="221" t="s">
        <v>118</v>
      </c>
      <c r="I8" s="221" t="s">
        <v>196</v>
      </c>
      <c r="J8" s="221"/>
      <c r="P8" s="221"/>
    </row>
    <row r="9" spans="2:16" ht="60.75" thickBot="1">
      <c r="B9" s="221" t="s">
        <v>118</v>
      </c>
      <c r="C9" s="221" t="s">
        <v>96</v>
      </c>
      <c r="D9" s="221" t="s">
        <v>195</v>
      </c>
      <c r="E9" s="221" t="s">
        <v>196</v>
      </c>
      <c r="F9" s="426"/>
      <c r="H9" s="221" t="s">
        <v>286</v>
      </c>
      <c r="I9" s="221">
        <v>154.83000000000001</v>
      </c>
      <c r="K9" s="221"/>
      <c r="P9" s="221"/>
    </row>
    <row r="10" spans="2:16" ht="51.75" customHeight="1" thickBot="1">
      <c r="B10" s="539" t="s">
        <v>287</v>
      </c>
      <c r="C10" s="539"/>
      <c r="D10" s="539"/>
      <c r="E10" s="540">
        <f>100-(100*10%)</f>
        <v>90</v>
      </c>
      <c r="F10" s="426"/>
      <c r="H10" s="542" t="s">
        <v>256</v>
      </c>
      <c r="I10" s="543">
        <f>I9*ФОТ!L73</f>
        <v>51.527899116868113</v>
      </c>
      <c r="K10" s="221"/>
      <c r="P10" s="221"/>
    </row>
    <row r="11" spans="2:16" ht="51.75" customHeight="1" thickBot="1">
      <c r="B11" s="500" t="s">
        <v>288</v>
      </c>
      <c r="C11" s="500"/>
      <c r="D11" s="500"/>
      <c r="E11" s="541">
        <f>200-(200*10%)</f>
        <v>180</v>
      </c>
      <c r="F11" s="426"/>
      <c r="H11" s="544" t="s">
        <v>258</v>
      </c>
      <c r="I11" s="545">
        <f>I9*ФОТ!M73</f>
        <v>60.432968868061273</v>
      </c>
      <c r="K11" s="221"/>
      <c r="P11" s="221"/>
    </row>
    <row r="12" spans="2:16" ht="51.75" customHeight="1">
      <c r="B12" s="500" t="s">
        <v>289</v>
      </c>
      <c r="C12" s="500"/>
      <c r="D12" s="500"/>
      <c r="E12" s="541">
        <f>50-(50*10%)</f>
        <v>45</v>
      </c>
      <c r="F12" s="426"/>
      <c r="H12" s="221"/>
      <c r="I12" s="221"/>
      <c r="K12" s="221"/>
      <c r="P12" s="221"/>
    </row>
    <row r="13" spans="2:16" ht="51.75" customHeight="1">
      <c r="B13" s="546" t="s">
        <v>290</v>
      </c>
      <c r="C13" s="546"/>
      <c r="D13" s="546"/>
      <c r="E13" s="546">
        <v>150</v>
      </c>
      <c r="F13" s="426"/>
      <c r="K13" s="221"/>
      <c r="P13" s="221"/>
    </row>
    <row r="14" spans="2:16" ht="51.75" customHeight="1">
      <c r="B14" s="500" t="s">
        <v>291</v>
      </c>
      <c r="C14" s="500"/>
      <c r="D14" s="500"/>
      <c r="E14" s="541">
        <f>50-(50*10%)</f>
        <v>45</v>
      </c>
      <c r="F14" s="426"/>
      <c r="K14" s="221"/>
      <c r="P14" s="221"/>
    </row>
    <row r="15" spans="2:16" ht="51.75" customHeight="1">
      <c r="B15" s="500" t="s">
        <v>292</v>
      </c>
      <c r="C15" s="500"/>
      <c r="D15" s="500"/>
      <c r="E15" s="500">
        <f>75-(75*10%)</f>
        <v>67.5</v>
      </c>
      <c r="F15" s="426"/>
      <c r="K15" s="221"/>
      <c r="P15" s="221"/>
    </row>
    <row r="16" spans="2:16" ht="51.75" customHeight="1" thickBot="1">
      <c r="B16" s="500" t="s">
        <v>293</v>
      </c>
      <c r="C16" s="500"/>
      <c r="D16" s="500"/>
      <c r="E16" s="500">
        <v>25</v>
      </c>
      <c r="F16" s="426"/>
      <c r="K16" s="221"/>
      <c r="P16" s="221"/>
    </row>
    <row r="17" spans="2:16">
      <c r="B17" s="518" t="s">
        <v>256</v>
      </c>
      <c r="C17" s="519"/>
      <c r="D17" s="519"/>
      <c r="E17" s="520">
        <f>E11+E12+E14+E15+E16</f>
        <v>362.5</v>
      </c>
      <c r="F17" s="426"/>
      <c r="K17" s="221"/>
      <c r="L17" s="221"/>
      <c r="M17" s="221"/>
      <c r="N17" s="221"/>
      <c r="O17" s="221"/>
      <c r="P17" s="221"/>
    </row>
    <row r="18" spans="2:16" ht="15.75" thickBot="1">
      <c r="B18" s="521" t="s">
        <v>258</v>
      </c>
      <c r="C18" s="517"/>
      <c r="D18" s="517"/>
      <c r="E18" s="522">
        <f>E10</f>
        <v>90</v>
      </c>
      <c r="F18" s="426"/>
      <c r="K18" s="221"/>
      <c r="L18" s="221"/>
      <c r="M18" s="221"/>
      <c r="N18" s="221"/>
      <c r="O18" s="221"/>
      <c r="P18" s="221"/>
    </row>
    <row r="19" spans="2:16">
      <c r="B19" s="221"/>
      <c r="C19" s="221"/>
      <c r="D19" s="221"/>
      <c r="E19" s="221"/>
      <c r="F19" s="221"/>
      <c r="K19" s="221"/>
      <c r="L19" s="221"/>
      <c r="M19" s="221"/>
      <c r="N19" s="221"/>
      <c r="O19" s="221"/>
      <c r="P19" s="221"/>
    </row>
    <row r="20" spans="2:16">
      <c r="B20" s="424"/>
      <c r="C20" s="424"/>
      <c r="D20" s="424"/>
      <c r="E20" s="425"/>
      <c r="F20" s="425"/>
      <c r="K20" s="221"/>
      <c r="L20" s="221"/>
      <c r="M20" s="221"/>
      <c r="N20" s="221"/>
      <c r="O20" s="221"/>
      <c r="P20" s="221"/>
    </row>
    <row r="21" spans="2:16">
      <c r="B21" s="221"/>
      <c r="C21" s="221"/>
      <c r="D21" s="221"/>
      <c r="E21" s="221"/>
      <c r="F21" s="221"/>
      <c r="K21" s="221"/>
      <c r="L21" s="221"/>
      <c r="M21" s="221"/>
      <c r="N21" s="221"/>
      <c r="O21" s="221"/>
      <c r="P21" s="221"/>
    </row>
    <row r="22" spans="2:16">
      <c r="B22" s="221"/>
      <c r="C22" s="221"/>
      <c r="D22" s="221"/>
      <c r="E22" s="221"/>
      <c r="F22" s="221"/>
      <c r="K22" s="221"/>
      <c r="L22" s="221"/>
      <c r="M22" s="221"/>
      <c r="N22" s="221"/>
      <c r="O22" s="221"/>
      <c r="P22" s="221"/>
    </row>
    <row r="23" spans="2:16">
      <c r="B23" s="221"/>
      <c r="C23" s="221"/>
      <c r="D23" s="221"/>
      <c r="E23" s="221"/>
      <c r="F23" s="221"/>
      <c r="K23" s="221"/>
      <c r="L23" s="221"/>
      <c r="M23" s="221"/>
      <c r="N23" s="221"/>
      <c r="O23" s="221"/>
      <c r="P23" s="221"/>
    </row>
    <row r="24" spans="2:16">
      <c r="B24" s="221"/>
      <c r="C24" s="221"/>
      <c r="D24" s="221"/>
      <c r="E24" s="221"/>
      <c r="F24" s="221"/>
      <c r="K24" s="221"/>
      <c r="L24" s="221"/>
      <c r="M24" s="221"/>
      <c r="N24" s="221"/>
      <c r="O24" s="221"/>
      <c r="P24" s="221"/>
    </row>
    <row r="25" spans="2:16">
      <c r="B25" s="221"/>
      <c r="C25" s="221"/>
      <c r="D25" s="221"/>
      <c r="E25" s="221"/>
      <c r="F25" s="221"/>
      <c r="K25" s="221"/>
      <c r="L25" s="221"/>
      <c r="M25" s="221"/>
      <c r="N25" s="221"/>
      <c r="O25" s="221"/>
      <c r="P25" s="221"/>
    </row>
    <row r="26" spans="2:16">
      <c r="B26" s="221"/>
      <c r="C26" s="221"/>
      <c r="D26" s="221"/>
      <c r="E26" s="221"/>
      <c r="F26" s="221"/>
      <c r="K26" s="221"/>
      <c r="L26" s="221"/>
      <c r="M26" s="221"/>
      <c r="N26" s="221"/>
      <c r="O26" s="221"/>
      <c r="P26" s="221"/>
    </row>
    <row r="27" spans="2:16"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</row>
    <row r="28" spans="2:16"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</row>
    <row r="29" spans="2:16"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</row>
    <row r="30" spans="2:16"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</row>
    <row r="31" spans="2:16"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</row>
    <row r="32" spans="2:16"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</row>
    <row r="33" spans="2:16"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</row>
    <row r="34" spans="2:16"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</row>
    <row r="35" spans="2:16"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</row>
    <row r="36" spans="2:16"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</row>
    <row r="37" spans="2:16"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</row>
    <row r="38" spans="2:16"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</row>
    <row r="39" spans="2:16"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</row>
  </sheetData>
  <mergeCells count="2">
    <mergeCell ref="B7:E7"/>
    <mergeCell ref="H7:I7"/>
  </mergeCells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7"/>
  <sheetViews>
    <sheetView workbookViewId="0">
      <selection activeCell="H36" sqref="H36"/>
    </sheetView>
  </sheetViews>
  <sheetFormatPr defaultRowHeight="15"/>
  <cols>
    <col min="2" max="2" width="16.42578125" customWidth="1"/>
    <col min="4" max="4" width="16.5703125" customWidth="1"/>
    <col min="8" max="8" width="16.85546875" customWidth="1"/>
  </cols>
  <sheetData>
    <row r="4" spans="1:11" ht="19.5" thickBot="1">
      <c r="B4" s="862" t="s">
        <v>215</v>
      </c>
      <c r="C4" s="862"/>
      <c r="D4" s="862"/>
      <c r="E4" s="862"/>
      <c r="F4" s="862"/>
      <c r="G4" s="862"/>
      <c r="H4" s="862"/>
      <c r="I4" s="862"/>
      <c r="J4" s="862"/>
      <c r="K4" s="862"/>
    </row>
    <row r="5" spans="1:11" ht="15.75" thickBot="1">
      <c r="H5" s="531" t="s">
        <v>284</v>
      </c>
      <c r="I5" s="532"/>
      <c r="J5" s="533">
        <f>E24+K24+D36</f>
        <v>126.77974637601233</v>
      </c>
      <c r="K5" s="52"/>
    </row>
    <row r="6" spans="1:11" ht="15.75" thickBot="1">
      <c r="B6" s="860" t="s">
        <v>245</v>
      </c>
      <c r="C6" s="860"/>
      <c r="D6" s="860"/>
      <c r="E6" s="860"/>
      <c r="H6" s="534" t="s">
        <v>285</v>
      </c>
      <c r="I6" s="535"/>
      <c r="J6" s="536">
        <f>E25+K25+D37</f>
        <v>70.597307263120015</v>
      </c>
      <c r="K6" s="52"/>
    </row>
    <row r="7" spans="1:11">
      <c r="C7" s="496"/>
      <c r="D7" s="496"/>
      <c r="E7" s="496"/>
      <c r="H7" s="52"/>
      <c r="I7" s="52"/>
      <c r="J7" s="52"/>
      <c r="K7" s="52"/>
    </row>
    <row r="8" spans="1:11" ht="33.75" customHeight="1">
      <c r="A8" s="499" t="s">
        <v>123</v>
      </c>
      <c r="B8" s="221" t="s">
        <v>118</v>
      </c>
      <c r="C8" s="221" t="s">
        <v>96</v>
      </c>
      <c r="D8" s="221" t="s">
        <v>253</v>
      </c>
      <c r="E8" s="221" t="s">
        <v>196</v>
      </c>
      <c r="F8" s="221"/>
      <c r="G8" s="426"/>
      <c r="H8" s="861" t="s">
        <v>231</v>
      </c>
      <c r="I8" s="861"/>
      <c r="J8" s="861"/>
      <c r="K8" s="861"/>
    </row>
    <row r="9" spans="1:11" ht="33.75" customHeight="1">
      <c r="A9" s="499">
        <v>1</v>
      </c>
      <c r="B9" s="221" t="s">
        <v>255</v>
      </c>
      <c r="C9" s="221">
        <v>16</v>
      </c>
      <c r="D9" s="426">
        <f>0.42*1.04</f>
        <v>0.43680000000000002</v>
      </c>
      <c r="E9" s="426">
        <f>C9*D9</f>
        <v>6.9888000000000003</v>
      </c>
      <c r="F9" s="221"/>
      <c r="G9" s="221"/>
      <c r="H9" s="221"/>
      <c r="I9" s="221"/>
      <c r="J9" s="221"/>
      <c r="K9" s="221"/>
    </row>
    <row r="10" spans="1:11" ht="33.75" customHeight="1">
      <c r="A10" s="499"/>
      <c r="B10" s="503" t="s">
        <v>254</v>
      </c>
      <c r="C10" s="503">
        <v>5</v>
      </c>
      <c r="D10" s="504">
        <f>D9</f>
        <v>0.43680000000000002</v>
      </c>
      <c r="E10" s="504">
        <f>C10*D10</f>
        <v>2.1840000000000002</v>
      </c>
      <c r="F10" s="221"/>
      <c r="G10" s="221"/>
      <c r="H10" s="221" t="s">
        <v>118</v>
      </c>
      <c r="I10" s="221" t="s">
        <v>96</v>
      </c>
      <c r="J10" s="221" t="s">
        <v>195</v>
      </c>
      <c r="K10" s="221" t="s">
        <v>196</v>
      </c>
    </row>
    <row r="11" spans="1:11" ht="33.75" customHeight="1">
      <c r="A11" s="499">
        <v>2</v>
      </c>
      <c r="B11" s="221" t="s">
        <v>246</v>
      </c>
      <c r="C11" s="221">
        <v>11</v>
      </c>
      <c r="D11" s="426">
        <f>1.85*1.04</f>
        <v>1.9240000000000002</v>
      </c>
      <c r="E11" s="426">
        <f t="shared" ref="E11:E19" si="0">C11*D11</f>
        <v>21.164000000000001</v>
      </c>
      <c r="F11" s="221"/>
      <c r="G11" s="221"/>
      <c r="H11" s="426" t="s">
        <v>233</v>
      </c>
      <c r="I11" s="426">
        <v>4</v>
      </c>
      <c r="J11" s="426"/>
      <c r="K11" s="426">
        <v>0.62</v>
      </c>
    </row>
    <row r="12" spans="1:11" ht="33.75" customHeight="1">
      <c r="A12" s="499">
        <v>3</v>
      </c>
      <c r="B12" s="221" t="s">
        <v>247</v>
      </c>
      <c r="C12" s="221">
        <v>162</v>
      </c>
      <c r="D12" s="426">
        <f>0.035*1.04</f>
        <v>3.6400000000000002E-2</v>
      </c>
      <c r="E12" s="426">
        <f t="shared" si="0"/>
        <v>5.8968000000000007</v>
      </c>
      <c r="F12" s="221"/>
      <c r="G12" s="221"/>
      <c r="H12" s="426" t="s">
        <v>234</v>
      </c>
      <c r="I12" s="426">
        <v>1</v>
      </c>
      <c r="J12" s="426"/>
      <c r="K12" s="426">
        <v>0.82</v>
      </c>
    </row>
    <row r="13" spans="1:11" ht="33.75" customHeight="1">
      <c r="A13" s="499"/>
      <c r="B13" s="503" t="s">
        <v>254</v>
      </c>
      <c r="C13" s="503">
        <v>10</v>
      </c>
      <c r="D13" s="504">
        <f>D12</f>
        <v>3.6400000000000002E-2</v>
      </c>
      <c r="E13" s="504">
        <f>C13*D13</f>
        <v>0.36399999999999999</v>
      </c>
      <c r="F13" s="221"/>
      <c r="G13" s="221"/>
      <c r="H13" s="426" t="s">
        <v>235</v>
      </c>
      <c r="I13" s="426">
        <v>4</v>
      </c>
      <c r="J13" s="426"/>
      <c r="K13" s="426">
        <v>0.60799999999999998</v>
      </c>
    </row>
    <row r="14" spans="1:11" ht="33.75" customHeight="1">
      <c r="A14" s="499">
        <v>4</v>
      </c>
      <c r="B14" s="221" t="s">
        <v>248</v>
      </c>
      <c r="C14" s="221">
        <v>80</v>
      </c>
      <c r="D14" s="426">
        <f>0.03*1.04</f>
        <v>3.1199999999999999E-2</v>
      </c>
      <c r="E14" s="426">
        <f t="shared" si="0"/>
        <v>2.496</v>
      </c>
      <c r="F14" s="221"/>
      <c r="G14" s="221"/>
      <c r="H14" s="426" t="s">
        <v>236</v>
      </c>
      <c r="I14" s="426">
        <v>4</v>
      </c>
      <c r="J14" s="426"/>
      <c r="K14" s="426">
        <v>4.68</v>
      </c>
    </row>
    <row r="15" spans="1:11" ht="33.75" customHeight="1">
      <c r="A15" s="499">
        <v>5</v>
      </c>
      <c r="B15" s="221" t="s">
        <v>249</v>
      </c>
      <c r="C15" s="221">
        <v>17</v>
      </c>
      <c r="D15" s="426">
        <f>0.45*1.04</f>
        <v>0.46800000000000003</v>
      </c>
      <c r="E15" s="426">
        <f t="shared" si="0"/>
        <v>7.9560000000000004</v>
      </c>
      <c r="F15" s="221"/>
      <c r="G15" s="221"/>
      <c r="H15" s="426" t="s">
        <v>237</v>
      </c>
      <c r="I15" s="426">
        <v>4</v>
      </c>
      <c r="J15" s="426"/>
      <c r="K15" s="426">
        <v>5.1239999999999997</v>
      </c>
    </row>
    <row r="16" spans="1:11" ht="33.75" customHeight="1">
      <c r="A16" s="499"/>
      <c r="B16" s="503" t="s">
        <v>254</v>
      </c>
      <c r="C16" s="503">
        <v>5</v>
      </c>
      <c r="D16" s="504">
        <f>D15</f>
        <v>0.46800000000000003</v>
      </c>
      <c r="E16" s="504">
        <f>C16*D16</f>
        <v>2.3400000000000003</v>
      </c>
      <c r="F16" s="221"/>
      <c r="G16" s="221"/>
      <c r="H16" s="426" t="s">
        <v>238</v>
      </c>
      <c r="I16" s="426">
        <v>4</v>
      </c>
      <c r="J16" s="426"/>
      <c r="K16" s="426">
        <v>0.55200000000000005</v>
      </c>
    </row>
    <row r="17" spans="1:11" ht="33.75" customHeight="1">
      <c r="A17" s="499">
        <v>6</v>
      </c>
      <c r="B17" s="221" t="s">
        <v>250</v>
      </c>
      <c r="C17" s="221">
        <v>4</v>
      </c>
      <c r="D17" s="426">
        <f>0.736*1.04</f>
        <v>0.76544000000000001</v>
      </c>
      <c r="E17" s="426">
        <f t="shared" si="0"/>
        <v>3.06176</v>
      </c>
      <c r="F17" s="221"/>
      <c r="G17" s="221"/>
      <c r="H17" s="426" t="s">
        <v>239</v>
      </c>
      <c r="I17" s="426">
        <v>4</v>
      </c>
      <c r="J17" s="426"/>
      <c r="K17" s="426">
        <v>0.72</v>
      </c>
    </row>
    <row r="18" spans="1:11" ht="33.75" customHeight="1">
      <c r="A18" s="499">
        <v>7</v>
      </c>
      <c r="B18" s="221" t="s">
        <v>251</v>
      </c>
      <c r="C18" s="221">
        <v>1</v>
      </c>
      <c r="D18" s="426">
        <f>2.235*1.04</f>
        <v>2.3243999999999998</v>
      </c>
      <c r="E18" s="426">
        <f t="shared" si="0"/>
        <v>2.3243999999999998</v>
      </c>
      <c r="F18" s="221"/>
      <c r="G18" s="221"/>
      <c r="H18" s="221" t="s">
        <v>240</v>
      </c>
      <c r="I18" s="221">
        <v>4</v>
      </c>
      <c r="J18" s="221"/>
      <c r="K18" s="426">
        <v>0.504</v>
      </c>
    </row>
    <row r="19" spans="1:11" ht="33.75" customHeight="1">
      <c r="A19" s="499">
        <v>8</v>
      </c>
      <c r="B19" s="221" t="s">
        <v>252</v>
      </c>
      <c r="C19" s="221">
        <v>1</v>
      </c>
      <c r="D19" s="426">
        <f>0.728*1.04</f>
        <v>0.75712000000000002</v>
      </c>
      <c r="E19" s="426">
        <f t="shared" si="0"/>
        <v>0.75712000000000002</v>
      </c>
      <c r="F19" s="221"/>
      <c r="G19" s="221"/>
      <c r="H19" s="494" t="s">
        <v>241</v>
      </c>
      <c r="I19" s="495">
        <v>1</v>
      </c>
      <c r="J19" s="425"/>
      <c r="K19" s="426">
        <v>0.17399999999999999</v>
      </c>
    </row>
    <row r="20" spans="1:11" ht="30">
      <c r="A20" s="499"/>
      <c r="B20" s="221"/>
      <c r="C20" s="221"/>
      <c r="D20" s="426"/>
      <c r="E20" s="426"/>
      <c r="F20" s="221"/>
      <c r="G20" s="221"/>
      <c r="H20" s="221" t="s">
        <v>242</v>
      </c>
      <c r="I20" s="221">
        <v>1</v>
      </c>
      <c r="J20" s="221"/>
      <c r="K20" s="426">
        <v>1.6639999999999999</v>
      </c>
    </row>
    <row r="21" spans="1:11">
      <c r="B21" s="221" t="s">
        <v>117</v>
      </c>
      <c r="C21" s="221"/>
      <c r="D21" s="221"/>
      <c r="E21" s="426">
        <f>E9+E11+E12+E14+E15+E17+E18+E19</f>
        <v>50.644880000000008</v>
      </c>
      <c r="F21" s="221"/>
      <c r="G21" s="221"/>
      <c r="H21" s="221" t="s">
        <v>243</v>
      </c>
      <c r="I21" s="221">
        <v>1</v>
      </c>
      <c r="J21" s="221"/>
      <c r="K21" s="426">
        <v>1.9350000000000001</v>
      </c>
    </row>
    <row r="22" spans="1:11" ht="60">
      <c r="B22" s="498" t="s">
        <v>254</v>
      </c>
      <c r="C22" s="221"/>
      <c r="D22" s="221"/>
      <c r="E22" s="497">
        <f>E10+E13+E16</f>
        <v>4.8879999999999999</v>
      </c>
      <c r="F22" s="221"/>
      <c r="G22" s="426"/>
      <c r="H22" s="221" t="s">
        <v>244</v>
      </c>
      <c r="I22" s="221"/>
      <c r="J22" s="221"/>
      <c r="K22" s="426">
        <v>2</v>
      </c>
    </row>
    <row r="23" spans="1:11" ht="15.75" thickBot="1">
      <c r="B23" s="500" t="s">
        <v>257</v>
      </c>
      <c r="C23" s="501"/>
      <c r="D23" s="501"/>
      <c r="E23" s="502">
        <f>E21-E22</f>
        <v>45.75688000000001</v>
      </c>
      <c r="G23" s="50"/>
      <c r="H23" s="221" t="s">
        <v>117</v>
      </c>
      <c r="I23" s="221"/>
      <c r="J23" s="221"/>
      <c r="K23" s="426">
        <f>SUM(K11:K22)</f>
        <v>19.401</v>
      </c>
    </row>
    <row r="24" spans="1:11" ht="19.5" thickBot="1">
      <c r="B24" s="506" t="s">
        <v>256</v>
      </c>
      <c r="C24" s="510"/>
      <c r="D24" s="510"/>
      <c r="E24" s="511">
        <f>E22+E23*ФОТ!L73</f>
        <v>20.116030075196285</v>
      </c>
      <c r="H24" s="527" t="s">
        <v>153</v>
      </c>
      <c r="I24" s="528"/>
      <c r="J24" s="528"/>
      <c r="K24" s="529">
        <f>K23*ФОТ!L73</f>
        <v>6.4567123346015514</v>
      </c>
    </row>
    <row r="25" spans="1:11" ht="20.25" thickTop="1" thickBot="1">
      <c r="B25" s="509" t="s">
        <v>258</v>
      </c>
      <c r="C25" s="507"/>
      <c r="D25" s="507"/>
      <c r="E25" s="508">
        <f>E23*ФОТ!M73</f>
        <v>17.85974361906359</v>
      </c>
      <c r="H25" s="524" t="s">
        <v>155</v>
      </c>
      <c r="I25" s="525"/>
      <c r="J25" s="525"/>
      <c r="K25" s="526">
        <f>K23*ФОТ!M73</f>
        <v>7.5725636440564275</v>
      </c>
    </row>
    <row r="28" spans="1:11" ht="30">
      <c r="B28" s="424" t="s">
        <v>118</v>
      </c>
      <c r="C28" s="424"/>
      <c r="D28" s="424" t="s">
        <v>281</v>
      </c>
      <c r="E28" s="221"/>
    </row>
    <row r="29" spans="1:11">
      <c r="B29" s="221" t="s">
        <v>279</v>
      </c>
      <c r="C29" s="221"/>
      <c r="D29" s="426">
        <v>8</v>
      </c>
      <c r="E29" s="221"/>
    </row>
    <row r="30" spans="1:11" ht="60">
      <c r="B30" s="221" t="s">
        <v>280</v>
      </c>
      <c r="C30" s="221"/>
      <c r="D30" s="426">
        <v>100</v>
      </c>
      <c r="E30" s="221"/>
    </row>
    <row r="31" spans="1:11">
      <c r="B31" s="221" t="s">
        <v>282</v>
      </c>
      <c r="C31" s="221"/>
      <c r="D31" s="426">
        <v>193.1</v>
      </c>
      <c r="E31" s="221"/>
    </row>
    <row r="32" spans="1:11" ht="45">
      <c r="B32" s="221" t="s">
        <v>283</v>
      </c>
      <c r="C32" s="221"/>
      <c r="D32" s="426"/>
      <c r="E32" s="221"/>
    </row>
    <row r="33" spans="2:9">
      <c r="B33" s="221"/>
      <c r="C33" s="221"/>
      <c r="D33" s="221"/>
      <c r="E33" s="221"/>
    </row>
    <row r="34" spans="2:9">
      <c r="B34" s="221" t="s">
        <v>117</v>
      </c>
      <c r="C34" s="221"/>
      <c r="D34" s="426">
        <f>D29+D30+D31+D32</f>
        <v>301.10000000000002</v>
      </c>
      <c r="E34" s="221"/>
    </row>
    <row r="35" spans="2:9" ht="15.75" thickBot="1">
      <c r="B35" s="221"/>
      <c r="C35" s="221"/>
      <c r="D35" s="221"/>
      <c r="E35" s="221"/>
      <c r="G35" s="54"/>
    </row>
    <row r="36" spans="2:9" ht="19.5" thickBot="1">
      <c r="B36" s="527" t="s">
        <v>256</v>
      </c>
      <c r="C36" s="523"/>
      <c r="D36" s="529">
        <f>D34*ФОТ!L73</f>
        <v>100.20700396621449</v>
      </c>
      <c r="E36" s="221"/>
      <c r="I36" s="50"/>
    </row>
    <row r="37" spans="2:9" ht="19.5" thickBot="1">
      <c r="B37" s="524" t="s">
        <v>258</v>
      </c>
      <c r="C37" s="528"/>
      <c r="D37" s="526">
        <f>D34*0.15</f>
        <v>45.164999999999999</v>
      </c>
      <c r="E37" s="221"/>
    </row>
    <row r="38" spans="2:9">
      <c r="B38" s="221"/>
      <c r="C38" s="221"/>
      <c r="D38" s="221"/>
      <c r="E38" s="221"/>
      <c r="F38" s="50"/>
    </row>
    <row r="39" spans="2:9">
      <c r="B39" s="221"/>
      <c r="C39" s="221"/>
      <c r="D39" s="221"/>
      <c r="E39" s="221"/>
    </row>
    <row r="40" spans="2:9">
      <c r="B40" s="221"/>
      <c r="C40" s="221"/>
      <c r="D40" s="221"/>
      <c r="E40" s="221"/>
    </row>
    <row r="41" spans="2:9">
      <c r="B41" s="221"/>
      <c r="C41" s="221"/>
      <c r="D41" s="221"/>
      <c r="E41" s="221"/>
    </row>
    <row r="42" spans="2:9">
      <c r="B42" s="221"/>
      <c r="C42" s="221"/>
      <c r="D42" s="221"/>
      <c r="E42" s="221"/>
    </row>
    <row r="43" spans="2:9">
      <c r="B43" s="221"/>
      <c r="C43" s="221"/>
      <c r="D43" s="221"/>
      <c r="E43" s="221"/>
    </row>
    <row r="44" spans="2:9">
      <c r="B44" s="221"/>
      <c r="C44" s="221"/>
      <c r="D44" s="221"/>
      <c r="E44" s="221"/>
    </row>
    <row r="45" spans="2:9">
      <c r="B45" s="221"/>
      <c r="C45" s="221"/>
      <c r="D45" s="221"/>
      <c r="E45" s="221"/>
    </row>
    <row r="46" spans="2:9">
      <c r="B46" s="221"/>
      <c r="C46" s="221"/>
      <c r="D46" s="221"/>
      <c r="E46" s="221"/>
    </row>
    <row r="47" spans="2:9">
      <c r="B47" s="221"/>
      <c r="C47" s="221"/>
      <c r="D47" s="221"/>
      <c r="E47" s="221"/>
    </row>
  </sheetData>
  <mergeCells count="3">
    <mergeCell ref="B6:E6"/>
    <mergeCell ref="H8:K8"/>
    <mergeCell ref="B4:K4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4"/>
  <sheetViews>
    <sheetView workbookViewId="0">
      <selection activeCell="D15" sqref="D15"/>
    </sheetView>
  </sheetViews>
  <sheetFormatPr defaultRowHeight="15"/>
  <cols>
    <col min="2" max="2" width="29" customWidth="1"/>
    <col min="4" max="4" width="17.42578125" customWidth="1"/>
  </cols>
  <sheetData>
    <row r="4" spans="2:10" ht="30" customHeight="1">
      <c r="B4" s="863" t="s">
        <v>215</v>
      </c>
      <c r="C4" s="863"/>
      <c r="D4" s="863"/>
      <c r="E4" s="863"/>
      <c r="F4" s="863"/>
      <c r="G4" s="863"/>
      <c r="H4" s="221"/>
      <c r="I4" s="221"/>
      <c r="J4" s="221"/>
    </row>
    <row r="5" spans="2:10">
      <c r="B5" s="221"/>
      <c r="C5" s="221"/>
      <c r="D5" s="221"/>
      <c r="E5" s="221"/>
      <c r="F5" s="221"/>
      <c r="G5" s="221"/>
      <c r="H5" s="221"/>
      <c r="I5" s="221"/>
      <c r="J5" s="221"/>
    </row>
    <row r="6" spans="2:10" ht="30">
      <c r="B6" s="221" t="s">
        <v>261</v>
      </c>
      <c r="C6" s="221" t="s">
        <v>196</v>
      </c>
      <c r="D6" s="221"/>
      <c r="E6" s="221"/>
      <c r="F6" s="221"/>
      <c r="G6" s="221"/>
      <c r="H6" s="221"/>
      <c r="I6" s="221"/>
      <c r="J6" s="221"/>
    </row>
    <row r="7" spans="2:10" ht="60.75" thickBot="1">
      <c r="B7" s="221" t="s">
        <v>259</v>
      </c>
      <c r="C7" s="221">
        <v>82.762</v>
      </c>
      <c r="D7" s="221" t="s">
        <v>260</v>
      </c>
      <c r="E7" s="221"/>
      <c r="F7" s="221"/>
      <c r="G7" s="221"/>
      <c r="H7" s="221"/>
      <c r="I7" s="221"/>
      <c r="J7" s="221"/>
    </row>
    <row r="8" spans="2:10" ht="19.5" thickBot="1">
      <c r="B8" s="221" t="s">
        <v>262</v>
      </c>
      <c r="C8" s="512">
        <f>C7</f>
        <v>82.762</v>
      </c>
      <c r="D8" s="221"/>
      <c r="E8" s="221"/>
      <c r="F8" s="221"/>
      <c r="G8" s="221"/>
      <c r="H8" s="221"/>
      <c r="I8" s="221"/>
      <c r="J8" s="221"/>
    </row>
    <row r="9" spans="2:10">
      <c r="B9" s="221"/>
      <c r="C9" s="221"/>
      <c r="D9" s="221"/>
      <c r="E9" s="221"/>
      <c r="F9" s="221"/>
      <c r="G9" s="221"/>
      <c r="H9" s="221"/>
      <c r="I9" s="221"/>
      <c r="J9" s="221"/>
    </row>
    <row r="10" spans="2:10">
      <c r="B10" s="221"/>
      <c r="C10" s="221"/>
      <c r="D10" s="221"/>
      <c r="E10" s="221"/>
      <c r="F10" s="221"/>
      <c r="G10" s="221"/>
      <c r="H10" s="221"/>
      <c r="I10" s="221"/>
      <c r="J10" s="221"/>
    </row>
    <row r="11" spans="2:10">
      <c r="B11" s="221"/>
      <c r="C11" s="221"/>
      <c r="D11" s="221"/>
      <c r="E11" s="221"/>
      <c r="F11" s="221"/>
      <c r="G11" s="221"/>
      <c r="H11" s="221"/>
      <c r="I11" s="221"/>
      <c r="J11" s="221"/>
    </row>
    <row r="12" spans="2:10">
      <c r="B12" s="221"/>
      <c r="C12" s="221"/>
      <c r="D12" s="221"/>
      <c r="E12" s="221"/>
      <c r="F12" s="221"/>
      <c r="G12" s="221"/>
      <c r="H12" s="221"/>
      <c r="I12" s="221"/>
      <c r="J12" s="221"/>
    </row>
    <row r="13" spans="2:10">
      <c r="B13" s="221"/>
      <c r="C13" s="221"/>
      <c r="D13" s="221"/>
      <c r="E13" s="221"/>
      <c r="F13" s="221"/>
      <c r="G13" s="221"/>
      <c r="H13" s="221"/>
      <c r="I13" s="221"/>
      <c r="J13" s="221"/>
    </row>
    <row r="14" spans="2:10">
      <c r="B14" s="221"/>
      <c r="C14" s="221"/>
      <c r="D14" s="221"/>
      <c r="E14" s="221"/>
      <c r="F14" s="221"/>
      <c r="G14" s="221"/>
      <c r="H14" s="221"/>
      <c r="I14" s="221"/>
      <c r="J14" s="221"/>
    </row>
    <row r="15" spans="2:10">
      <c r="B15" s="221"/>
      <c r="C15" s="221"/>
      <c r="D15" s="221"/>
      <c r="E15" s="221"/>
      <c r="F15" s="221"/>
      <c r="G15" s="221"/>
      <c r="H15" s="221"/>
      <c r="I15" s="221"/>
      <c r="J15" s="221"/>
    </row>
    <row r="16" spans="2:10">
      <c r="B16" s="221"/>
      <c r="C16" s="221"/>
      <c r="D16" s="221"/>
      <c r="E16" s="221"/>
      <c r="F16" s="221"/>
      <c r="G16" s="221"/>
      <c r="H16" s="221"/>
      <c r="I16" s="221"/>
      <c r="J16" s="221"/>
    </row>
    <row r="17" spans="2:10">
      <c r="B17" s="221"/>
      <c r="C17" s="221"/>
      <c r="D17" s="221"/>
      <c r="E17" s="221"/>
      <c r="F17" s="221"/>
      <c r="G17" s="221"/>
      <c r="H17" s="221"/>
      <c r="I17" s="221"/>
      <c r="J17" s="221"/>
    </row>
    <row r="18" spans="2:10">
      <c r="B18" s="221"/>
      <c r="C18" s="221"/>
      <c r="D18" s="221"/>
      <c r="E18" s="221"/>
      <c r="F18" s="221"/>
      <c r="G18" s="221"/>
      <c r="H18" s="221"/>
      <c r="I18" s="221"/>
      <c r="J18" s="221"/>
    </row>
    <row r="19" spans="2:10">
      <c r="B19" s="221"/>
      <c r="C19" s="221"/>
      <c r="D19" s="221"/>
      <c r="E19" s="221"/>
      <c r="F19" s="221"/>
      <c r="G19" s="221"/>
      <c r="H19" s="221"/>
      <c r="I19" s="221"/>
      <c r="J19" s="221"/>
    </row>
    <row r="20" spans="2:10">
      <c r="B20" s="221"/>
      <c r="C20" s="221"/>
      <c r="D20" s="221"/>
      <c r="E20" s="221"/>
      <c r="F20" s="221"/>
      <c r="G20" s="221"/>
      <c r="H20" s="221"/>
      <c r="I20" s="221"/>
      <c r="J20" s="221"/>
    </row>
    <row r="21" spans="2:10">
      <c r="B21" s="221"/>
      <c r="C21" s="221"/>
      <c r="D21" s="221"/>
      <c r="E21" s="221"/>
      <c r="F21" s="221"/>
      <c r="G21" s="221"/>
      <c r="H21" s="221"/>
      <c r="I21" s="221"/>
      <c r="J21" s="221"/>
    </row>
    <row r="22" spans="2:10">
      <c r="B22" s="221"/>
      <c r="C22" s="221"/>
      <c r="D22" s="221"/>
      <c r="E22" s="221"/>
      <c r="F22" s="221"/>
      <c r="G22" s="221"/>
      <c r="H22" s="221"/>
      <c r="I22" s="221"/>
      <c r="J22" s="221"/>
    </row>
    <row r="23" spans="2:10">
      <c r="B23" s="221"/>
      <c r="C23" s="221"/>
      <c r="D23" s="221"/>
      <c r="E23" s="221"/>
      <c r="F23" s="221"/>
      <c r="G23" s="221"/>
      <c r="H23" s="221"/>
      <c r="I23" s="221"/>
      <c r="J23" s="221"/>
    </row>
    <row r="24" spans="2:10">
      <c r="B24" s="221"/>
      <c r="C24" s="221"/>
      <c r="D24" s="221"/>
      <c r="E24" s="221"/>
      <c r="F24" s="221"/>
      <c r="G24" s="221"/>
      <c r="H24" s="221"/>
      <c r="I24" s="221"/>
      <c r="J24" s="221"/>
    </row>
  </sheetData>
  <mergeCells count="1">
    <mergeCell ref="B4:G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ВОДА 2016-2018</vt:lpstr>
      <vt:lpstr>СТОКИ 2016-2018</vt:lpstr>
      <vt:lpstr>Элэн</vt:lpstr>
      <vt:lpstr>амортизация</vt:lpstr>
      <vt:lpstr>тр-ный налог</vt:lpstr>
      <vt:lpstr>ФОТ</vt:lpstr>
      <vt:lpstr>АВР, ремонт</vt:lpstr>
      <vt:lpstr>Цеховые</vt:lpstr>
      <vt:lpstr>Прочие прямые</vt:lpstr>
      <vt:lpstr>ОХР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2021-05-24T12:57:13Z</dcterms:modified>
</cp:coreProperties>
</file>